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esnadafr-my.sharepoint.com/personal/zaigham_ali_esnadafrica_com/Documents/Desktop/Personal/My Profile/Me/Github Profile/"/>
    </mc:Choice>
  </mc:AlternateContent>
  <xr:revisionPtr revIDLastSave="397" documentId="13_ncr:1_{6E55DA65-BEC2-46F9-9E2C-24E29328811D}" xr6:coauthVersionLast="47" xr6:coauthVersionMax="47" xr10:uidLastSave="{19FE3A1B-2A80-492B-8623-8F615F93E142}"/>
  <bookViews>
    <workbookView xWindow="-108" yWindow="-108" windowWidth="23256" windowHeight="12456" xr2:uid="{1EE4A064-C994-4E24-95E5-D88032823A25}"/>
  </bookViews>
  <sheets>
    <sheet name="Cover" sheetId="12" r:id="rId1"/>
    <sheet name="Outputs" sheetId="13" r:id="rId2"/>
    <sheet name="Inputs" sheetId="3" r:id="rId3"/>
    <sheet name="Model" sheetId="1" r:id="rId4"/>
  </sheets>
  <definedNames>
    <definedName name="_xlnm.Print_Area" localSheetId="0">Cover!$B$2:$N$39</definedName>
    <definedName name="_xlnm.Print_Area" localSheetId="2">Inputs!$B$3:$M$41,Inputs!$B$44:$M$85,Inputs!$B$88:$M$113</definedName>
    <definedName name="_xlnm.Print_Area" localSheetId="3">Model!$B$3:$O$44,Model!$B$47:$O$90,Model!$B$93:$O$124,Model!$B$127:$O$159,Model!$B$162:$M$205,Model!$B$208:$M$234,Model!$B$237:$M$276,Model!$B$279:$M$318,Model!$B$321:$O$358,Model!$B$361:$O$405,Model!$B$408:$O$452</definedName>
    <definedName name="_xlnm.Print_Area" localSheetId="1">Outputs!$B$3:$Q$44,Outputs!$B$47:$Q$88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6" i="13" l="1"/>
  <c r="O12" i="13"/>
  <c r="F98" i="3"/>
  <c r="F99" i="3"/>
  <c r="F97" i="3"/>
  <c r="G5" i="3" s="1"/>
  <c r="K80" i="3"/>
  <c r="L74" i="3"/>
  <c r="L80" i="3" s="1"/>
  <c r="F74" i="3"/>
  <c r="F75" i="3" s="1"/>
  <c r="D75" i="3"/>
  <c r="E74" i="3" s="1"/>
  <c r="H58" i="3"/>
  <c r="H57" i="3"/>
  <c r="J51" i="3"/>
  <c r="I51" i="3"/>
  <c r="M447" i="1"/>
  <c r="H447" i="1"/>
  <c r="H429" i="1"/>
  <c r="H422" i="1"/>
  <c r="H436" i="1"/>
  <c r="M400" i="1"/>
  <c r="H400" i="1"/>
  <c r="H389" i="1"/>
  <c r="H375" i="1"/>
  <c r="H264" i="1"/>
  <c r="I261" i="1" s="1"/>
  <c r="I138" i="1"/>
  <c r="L51" i="3" l="1"/>
  <c r="H306" i="1"/>
  <c r="I303" i="1" s="1"/>
  <c r="K81" i="3"/>
  <c r="E73" i="3"/>
  <c r="J55" i="3"/>
  <c r="I414" i="1"/>
  <c r="I413" i="1"/>
  <c r="I367" i="1"/>
  <c r="I366" i="1"/>
  <c r="J366" i="1" s="1"/>
  <c r="J378" i="1" s="1"/>
  <c r="H413" i="1"/>
  <c r="H414" i="1" s="1"/>
  <c r="I432" i="1" s="1"/>
  <c r="E75" i="3" l="1"/>
  <c r="E77" i="3"/>
  <c r="J414" i="1"/>
  <c r="K414" i="1" s="1"/>
  <c r="L414" i="1" s="1"/>
  <c r="M414" i="1" s="1"/>
  <c r="N414" i="1" s="1"/>
  <c r="J413" i="1"/>
  <c r="K413" i="1" s="1"/>
  <c r="L413" i="1" s="1"/>
  <c r="M413" i="1" s="1"/>
  <c r="N413" i="1" s="1"/>
  <c r="H382" i="1"/>
  <c r="F422" i="1" l="1"/>
  <c r="J432" i="1"/>
  <c r="K432" i="1" s="1"/>
  <c r="L432" i="1" s="1"/>
  <c r="M432" i="1" s="1"/>
  <c r="N432" i="1" s="1"/>
  <c r="I55" i="3"/>
  <c r="K58" i="3" l="1"/>
  <c r="K57" i="3"/>
  <c r="D59" i="13" l="1"/>
  <c r="D60" i="13"/>
  <c r="D58" i="13"/>
  <c r="C413" i="1" l="1"/>
  <c r="I425" i="1"/>
  <c r="I428" i="1" s="1"/>
  <c r="F67" i="13"/>
  <c r="N67" i="13" s="1"/>
  <c r="O60" i="13"/>
  <c r="O59" i="13"/>
  <c r="O58" i="13"/>
  <c r="D81" i="13" l="1"/>
  <c r="L68" i="13" s="1"/>
  <c r="L81" i="13" s="1"/>
  <c r="G58" i="13"/>
  <c r="H58" i="13" s="1"/>
  <c r="G60" i="13"/>
  <c r="H60" i="13" s="1"/>
  <c r="G59" i="13"/>
  <c r="H59" i="13" s="1"/>
  <c r="G85" i="13"/>
  <c r="O72" i="13" s="1"/>
  <c r="O85" i="13" s="1"/>
  <c r="F81" i="13"/>
  <c r="N68" i="13" s="1"/>
  <c r="N81" i="13" s="1"/>
  <c r="E82" i="13"/>
  <c r="M69" i="13" s="1"/>
  <c r="M82" i="13" s="1"/>
  <c r="E84" i="13"/>
  <c r="M71" i="13" s="1"/>
  <c r="M84" i="13" s="1"/>
  <c r="F85" i="13"/>
  <c r="N72" i="13" s="1"/>
  <c r="N85" i="13" s="1"/>
  <c r="F82" i="13"/>
  <c r="N69" i="13" s="1"/>
  <c r="N82" i="13" s="1"/>
  <c r="G82" i="13"/>
  <c r="O69" i="13" s="1"/>
  <c r="O82" i="13" s="1"/>
  <c r="D82" i="13"/>
  <c r="L69" i="13" s="1"/>
  <c r="L82" i="13" s="1"/>
  <c r="H85" i="13"/>
  <c r="P72" i="13" s="1"/>
  <c r="P85" i="13" s="1"/>
  <c r="D83" i="13"/>
  <c r="L70" i="13" s="1"/>
  <c r="L83" i="13" s="1"/>
  <c r="G83" i="13"/>
  <c r="O70" i="13" s="1"/>
  <c r="O83" i="13" s="1"/>
  <c r="H83" i="13"/>
  <c r="P70" i="13" s="1"/>
  <c r="P83" i="13" s="1"/>
  <c r="E85" i="13"/>
  <c r="M72" i="13" s="1"/>
  <c r="M85" i="13" s="1"/>
  <c r="E81" i="13"/>
  <c r="M68" i="13" s="1"/>
  <c r="M81" i="13" s="1"/>
  <c r="H82" i="13"/>
  <c r="P69" i="13" s="1"/>
  <c r="P82" i="13" s="1"/>
  <c r="F84" i="13"/>
  <c r="N71" i="13" s="1"/>
  <c r="N84" i="13" s="1"/>
  <c r="G84" i="13"/>
  <c r="O71" i="13" s="1"/>
  <c r="O84" i="13" s="1"/>
  <c r="J425" i="1"/>
  <c r="J428" i="1" s="1"/>
  <c r="H84" i="13"/>
  <c r="P71" i="13" s="1"/>
  <c r="P84" i="13" s="1"/>
  <c r="G81" i="13"/>
  <c r="O68" i="13" s="1"/>
  <c r="O81" i="13" s="1"/>
  <c r="E83" i="13"/>
  <c r="M70" i="13" s="1"/>
  <c r="M83" i="13" s="1"/>
  <c r="G67" i="13"/>
  <c r="H67" i="13" s="1"/>
  <c r="H81" i="13"/>
  <c r="P68" i="13" s="1"/>
  <c r="P81" i="13" s="1"/>
  <c r="F83" i="13"/>
  <c r="N70" i="13" s="1"/>
  <c r="N83" i="13" s="1"/>
  <c r="D85" i="13"/>
  <c r="L72" i="13" s="1"/>
  <c r="L85" i="13" s="1"/>
  <c r="E67" i="13"/>
  <c r="D67" i="13" s="1"/>
  <c r="D84" i="13"/>
  <c r="L71" i="13" s="1"/>
  <c r="L84" i="13" s="1"/>
  <c r="F80" i="13"/>
  <c r="N80" i="13" s="1"/>
  <c r="D80" i="13" l="1"/>
  <c r="L80" i="13" s="1"/>
  <c r="L67" i="13"/>
  <c r="K425" i="1"/>
  <c r="K428" i="1" s="1"/>
  <c r="E80" i="13"/>
  <c r="M80" i="13" s="1"/>
  <c r="M67" i="13"/>
  <c r="O67" i="13"/>
  <c r="G80" i="13"/>
  <c r="O80" i="13" s="1"/>
  <c r="L425" i="1" l="1"/>
  <c r="L428" i="1" s="1"/>
  <c r="H80" i="13"/>
  <c r="P80" i="13" s="1"/>
  <c r="P67" i="13"/>
  <c r="N345" i="1"/>
  <c r="M425" i="1" l="1"/>
  <c r="M428" i="1" s="1"/>
  <c r="K140" i="1"/>
  <c r="K139" i="1"/>
  <c r="K138" i="1"/>
  <c r="L138" i="1"/>
  <c r="M138" i="1"/>
  <c r="C101" i="1"/>
  <c r="L53" i="1"/>
  <c r="L37" i="3"/>
  <c r="L36" i="3"/>
  <c r="L35" i="3"/>
  <c r="D287" i="1" l="1"/>
  <c r="G329" i="1"/>
  <c r="M140" i="1"/>
  <c r="L140" i="1"/>
  <c r="J140" i="1"/>
  <c r="M139" i="1"/>
  <c r="L139" i="1"/>
  <c r="J139" i="1"/>
  <c r="J138" i="1"/>
  <c r="D216" i="1"/>
  <c r="D178" i="1"/>
  <c r="I178" i="1" s="1"/>
  <c r="D177" i="1"/>
  <c r="G182" i="1" s="1"/>
  <c r="D172" i="1"/>
  <c r="H223" i="1" s="1"/>
  <c r="F151" i="1"/>
  <c r="F150" i="1"/>
  <c r="H134" i="1"/>
  <c r="G134" i="1"/>
  <c r="H133" i="1"/>
  <c r="G133" i="1"/>
  <c r="F134" i="1"/>
  <c r="F133" i="1"/>
  <c r="F121" i="1"/>
  <c r="C100" i="1"/>
  <c r="I116" i="1" s="1"/>
  <c r="F105" i="1"/>
  <c r="F110" i="1" s="1"/>
  <c r="F78" i="1"/>
  <c r="F88" i="1" s="1"/>
  <c r="F60" i="1"/>
  <c r="F83" i="1" s="1"/>
  <c r="N323" i="1"/>
  <c r="N95" i="1"/>
  <c r="N49" i="1"/>
  <c r="F39" i="1"/>
  <c r="G32" i="1"/>
  <c r="F26" i="1"/>
  <c r="F25" i="1"/>
  <c r="F18" i="1"/>
  <c r="F43" i="1" s="1"/>
  <c r="C9" i="1"/>
  <c r="N17" i="1" s="1"/>
  <c r="G14" i="1"/>
  <c r="C8" i="1"/>
  <c r="I8" i="1" s="1"/>
  <c r="F77" i="3"/>
  <c r="N140" i="1"/>
  <c r="N139" i="1"/>
  <c r="N138" i="1"/>
  <c r="D215" i="1"/>
  <c r="D171" i="1"/>
  <c r="I140" i="1"/>
  <c r="I139" i="1"/>
  <c r="I346" i="1" l="1"/>
  <c r="N425" i="1"/>
  <c r="M116" i="1"/>
  <c r="N116" i="1"/>
  <c r="N346" i="1" s="1"/>
  <c r="K8" i="1"/>
  <c r="D245" i="1"/>
  <c r="G184" i="1"/>
  <c r="K116" i="1"/>
  <c r="F152" i="1"/>
  <c r="J116" i="1"/>
  <c r="G183" i="1"/>
  <c r="G185" i="1"/>
  <c r="L116" i="1"/>
  <c r="I220" i="1"/>
  <c r="G186" i="1"/>
  <c r="F27" i="1"/>
  <c r="F38" i="1" s="1"/>
  <c r="F40" i="1" s="1"/>
  <c r="I17" i="1"/>
  <c r="J17" i="1"/>
  <c r="L8" i="1"/>
  <c r="K17" i="1"/>
  <c r="M8" i="1"/>
  <c r="L17" i="1"/>
  <c r="M17" i="1"/>
  <c r="N8" i="1"/>
  <c r="J8" i="1"/>
  <c r="H366" i="1"/>
  <c r="H367" i="1" s="1"/>
  <c r="I385" i="1" s="1"/>
  <c r="M346" i="1" l="1"/>
  <c r="L346" i="1"/>
  <c r="J346" i="1"/>
  <c r="K346" i="1"/>
  <c r="I378" i="1"/>
  <c r="I381" i="1" s="1"/>
  <c r="J381" i="1"/>
  <c r="F52" i="1"/>
  <c r="F71" i="1" s="1"/>
  <c r="J367" i="1"/>
  <c r="F63" i="1" l="1"/>
  <c r="F62" i="1"/>
  <c r="F72" i="1"/>
  <c r="F70" i="1"/>
  <c r="F64" i="1"/>
  <c r="K366" i="1"/>
  <c r="K378" i="1" s="1"/>
  <c r="K381" i="1" s="1"/>
  <c r="C366" i="1"/>
  <c r="K53" i="1"/>
  <c r="H39" i="1"/>
  <c r="O16" i="13"/>
  <c r="J52" i="3"/>
  <c r="J53" i="1"/>
  <c r="J98" i="1" s="1"/>
  <c r="O15" i="13"/>
  <c r="O14" i="13"/>
  <c r="H132" i="1"/>
  <c r="G18" i="1"/>
  <c r="H18" i="1"/>
  <c r="F98" i="1"/>
  <c r="G16" i="13" l="1"/>
  <c r="H16" i="13" s="1"/>
  <c r="G15" i="13"/>
  <c r="H15" i="13" s="1"/>
  <c r="G14" i="13"/>
  <c r="H14" i="13" s="1"/>
  <c r="D37" i="13"/>
  <c r="L24" i="13" s="1"/>
  <c r="L37" i="13" s="1"/>
  <c r="J385" i="1"/>
  <c r="F73" i="1"/>
  <c r="F84" i="1" s="1"/>
  <c r="F85" i="1" s="1"/>
  <c r="F65" i="1"/>
  <c r="F87" i="1" s="1"/>
  <c r="F89" i="1" s="1"/>
  <c r="F37" i="13"/>
  <c r="L366" i="1"/>
  <c r="L378" i="1" s="1"/>
  <c r="L381" i="1" s="1"/>
  <c r="M366" i="1" l="1"/>
  <c r="M378" i="1" s="1"/>
  <c r="K367" i="1"/>
  <c r="K385" i="1" l="1"/>
  <c r="N366" i="1"/>
  <c r="L367" i="1"/>
  <c r="L385" i="1" l="1"/>
  <c r="M367" i="1"/>
  <c r="N367" i="1" s="1"/>
  <c r="M385" i="1" l="1"/>
  <c r="H40" i="13"/>
  <c r="P27" i="13" s="1"/>
  <c r="P40" i="13" s="1"/>
  <c r="H230" i="1"/>
  <c r="I227" i="1" s="1"/>
  <c r="G132" i="1"/>
  <c r="G139" i="1" s="1"/>
  <c r="J132" i="1"/>
  <c r="K132" i="1"/>
  <c r="L132" i="1"/>
  <c r="M132" i="1"/>
  <c r="N132" i="1"/>
  <c r="F23" i="13"/>
  <c r="F36" i="13" l="1"/>
  <c r="N36" i="13" s="1"/>
  <c r="N23" i="13"/>
  <c r="I25" i="1"/>
  <c r="I132" i="1"/>
  <c r="F132" i="1"/>
  <c r="F39" i="13"/>
  <c r="D41" i="13"/>
  <c r="L28" i="13" s="1"/>
  <c r="L41" i="13" s="1"/>
  <c r="H37" i="13"/>
  <c r="P24" i="13" s="1"/>
  <c r="P37" i="13" s="1"/>
  <c r="D38" i="13"/>
  <c r="L25" i="13" s="1"/>
  <c r="L38" i="13" s="1"/>
  <c r="G39" i="13"/>
  <c r="O26" i="13" s="1"/>
  <c r="O39" i="13" s="1"/>
  <c r="E41" i="13"/>
  <c r="M28" i="13" s="1"/>
  <c r="M41" i="13" s="1"/>
  <c r="E38" i="13"/>
  <c r="M25" i="13" s="1"/>
  <c r="M38" i="13" s="1"/>
  <c r="H39" i="13"/>
  <c r="P26" i="13" s="1"/>
  <c r="P39" i="13" s="1"/>
  <c r="F41" i="13"/>
  <c r="N28" i="13" s="1"/>
  <c r="N41" i="13" s="1"/>
  <c r="F38" i="13"/>
  <c r="N25" i="13" s="1"/>
  <c r="N38" i="13" s="1"/>
  <c r="D40" i="13"/>
  <c r="L27" i="13" s="1"/>
  <c r="L40" i="13" s="1"/>
  <c r="G41" i="13"/>
  <c r="O28" i="13" s="1"/>
  <c r="O41" i="13" s="1"/>
  <c r="G38" i="13"/>
  <c r="O25" i="13" s="1"/>
  <c r="O38" i="13" s="1"/>
  <c r="E40" i="13"/>
  <c r="M27" i="13" s="1"/>
  <c r="M40" i="13" s="1"/>
  <c r="H41" i="13"/>
  <c r="P28" i="13" s="1"/>
  <c r="P41" i="13" s="1"/>
  <c r="E37" i="13"/>
  <c r="H38" i="13"/>
  <c r="P25" i="13" s="1"/>
  <c r="P38" i="13" s="1"/>
  <c r="F40" i="13"/>
  <c r="N27" i="13" s="1"/>
  <c r="N40" i="13" s="1"/>
  <c r="N24" i="13"/>
  <c r="N37" i="13" s="1"/>
  <c r="D39" i="13"/>
  <c r="L26" i="13" s="1"/>
  <c r="L39" i="13" s="1"/>
  <c r="G40" i="13"/>
  <c r="O27" i="13" s="1"/>
  <c r="O40" i="13" s="1"/>
  <c r="G37" i="13"/>
  <c r="O24" i="13" s="1"/>
  <c r="O37" i="13" s="1"/>
  <c r="E39" i="13"/>
  <c r="M26" i="13" s="1"/>
  <c r="M39" i="13" s="1"/>
  <c r="I5" i="1"/>
  <c r="M24" i="13" l="1"/>
  <c r="M37" i="13" s="1"/>
  <c r="F140" i="1"/>
  <c r="F139" i="1"/>
  <c r="F138" i="1"/>
  <c r="I210" i="1"/>
  <c r="I129" i="1"/>
  <c r="I323" i="1"/>
  <c r="I95" i="1"/>
  <c r="I239" i="1"/>
  <c r="I49" i="1"/>
  <c r="I164" i="1"/>
  <c r="I281" i="1"/>
  <c r="J5" i="1"/>
  <c r="H5" i="1"/>
  <c r="H93" i="3"/>
  <c r="H5" i="3"/>
  <c r="N26" i="13"/>
  <c r="N39" i="13" s="1"/>
  <c r="N14" i="13" l="1"/>
  <c r="N58" i="13" s="1"/>
  <c r="J95" i="1"/>
  <c r="J239" i="1"/>
  <c r="J49" i="1"/>
  <c r="J210" i="1"/>
  <c r="J323" i="1"/>
  <c r="J281" i="1"/>
  <c r="J129" i="1"/>
  <c r="J164" i="1"/>
  <c r="G5" i="1"/>
  <c r="H164" i="1"/>
  <c r="B172" i="1" s="1"/>
  <c r="H281" i="1"/>
  <c r="H210" i="1"/>
  <c r="H129" i="1"/>
  <c r="H95" i="1"/>
  <c r="H239" i="1"/>
  <c r="H49" i="1"/>
  <c r="F5" i="1" l="1"/>
  <c r="G164" i="1"/>
  <c r="G129" i="1"/>
  <c r="G95" i="1"/>
  <c r="G49" i="1"/>
  <c r="F49" i="1" l="1"/>
  <c r="F164" i="1"/>
  <c r="F129" i="1"/>
  <c r="F95" i="1"/>
  <c r="B13" i="3"/>
  <c r="B14" i="3"/>
  <c r="B12" i="3"/>
  <c r="B26" i="3" l="1"/>
  <c r="B19" i="3"/>
  <c r="B21" i="3"/>
  <c r="B28" i="3"/>
  <c r="B20" i="3"/>
  <c r="B27" i="3"/>
  <c r="G23" i="13"/>
  <c r="H23" i="13" l="1"/>
  <c r="G36" i="13"/>
  <c r="O36" i="13" s="1"/>
  <c r="O23" i="13"/>
  <c r="E23" i="13"/>
  <c r="D23" i="13" l="1"/>
  <c r="M23" i="13"/>
  <c r="E36" i="13"/>
  <c r="M36" i="13" s="1"/>
  <c r="P23" i="13"/>
  <c r="H36" i="13"/>
  <c r="P36" i="13" s="1"/>
  <c r="D7" i="3"/>
  <c r="L23" i="13" l="1"/>
  <c r="D36" i="13"/>
  <c r="L36" i="13" s="1"/>
  <c r="B6" i="1" a="1"/>
  <c r="B6" i="1" s="1"/>
  <c r="B411" i="1" s="1"/>
  <c r="G17" i="3" a="1"/>
  <c r="G17" i="3" s="1"/>
  <c r="G10" i="3" a="1"/>
  <c r="G10" i="3" s="1"/>
  <c r="G24" i="3" a="1"/>
  <c r="G24" i="3" s="1"/>
  <c r="I337" i="1" s="1"/>
  <c r="I348" i="1" s="1"/>
  <c r="J10" i="3" a="1"/>
  <c r="J10" i="3" s="1"/>
  <c r="L10" i="3" a="1"/>
  <c r="L10" i="3" s="1"/>
  <c r="I10" i="3" a="1"/>
  <c r="I10" i="3" s="1"/>
  <c r="K10" i="3" a="1"/>
  <c r="K10" i="3" s="1"/>
  <c r="H10" i="3" a="1"/>
  <c r="H10" i="3" s="1"/>
  <c r="I53" i="1"/>
  <c r="N53" i="1"/>
  <c r="M53" i="1"/>
  <c r="L24" i="3" a="1"/>
  <c r="L24" i="3" s="1"/>
  <c r="K24" i="3" a="1"/>
  <c r="K24" i="3" s="1"/>
  <c r="H24" i="3" a="1"/>
  <c r="H24" i="3" s="1"/>
  <c r="J24" i="3" a="1"/>
  <c r="J24" i="3" s="1"/>
  <c r="I24" i="3" a="1"/>
  <c r="I24" i="3" s="1"/>
  <c r="L17" i="3" a="1"/>
  <c r="L17" i="3" s="1"/>
  <c r="K17" i="3" a="1"/>
  <c r="K17" i="3" s="1"/>
  <c r="J17" i="3" a="1"/>
  <c r="J17" i="3" s="1"/>
  <c r="I17" i="3" a="1"/>
  <c r="I17" i="3" s="1"/>
  <c r="H17" i="3" a="1"/>
  <c r="H17" i="3" s="1"/>
  <c r="J32" i="1" l="1"/>
  <c r="L337" i="1"/>
  <c r="K337" i="1"/>
  <c r="J337" i="1"/>
  <c r="M337" i="1"/>
  <c r="N113" i="1"/>
  <c r="N344" i="1" s="1"/>
  <c r="N337" i="1"/>
  <c r="I76" i="1"/>
  <c r="I57" i="1"/>
  <c r="I58" i="1"/>
  <c r="I75" i="1"/>
  <c r="I59" i="1"/>
  <c r="B165" i="1"/>
  <c r="B130" i="1"/>
  <c r="B282" i="1"/>
  <c r="B324" i="1"/>
  <c r="B96" i="1"/>
  <c r="B240" i="1"/>
  <c r="B364" i="1"/>
  <c r="B211" i="1"/>
  <c r="B50" i="1"/>
  <c r="H32" i="1"/>
  <c r="H14" i="1"/>
  <c r="I5" i="3"/>
  <c r="J5" i="3" s="1"/>
  <c r="K5" i="3" s="1"/>
  <c r="I183" i="1"/>
  <c r="I172" i="1"/>
  <c r="H121" i="1"/>
  <c r="G121" i="1"/>
  <c r="I77" i="1"/>
  <c r="J54" i="3"/>
  <c r="L55" i="3"/>
  <c r="I54" i="3"/>
  <c r="L54" i="3" s="1"/>
  <c r="I53" i="3"/>
  <c r="L53" i="3" s="1"/>
  <c r="J53" i="3"/>
  <c r="I52" i="3"/>
  <c r="L52" i="3" l="1"/>
  <c r="L57" i="3" s="1"/>
  <c r="F64" i="3" s="1"/>
  <c r="F65" i="3" s="1"/>
  <c r="F66" i="3" s="1"/>
  <c r="L64" i="3" s="1"/>
  <c r="L66" i="3" s="1"/>
  <c r="L81" i="3" s="1"/>
  <c r="L84" i="3" s="1"/>
  <c r="I57" i="3"/>
  <c r="L58" i="3"/>
  <c r="J172" i="1"/>
  <c r="I198" i="1"/>
  <c r="I182" i="1"/>
  <c r="J178" i="1"/>
  <c r="I58" i="3"/>
  <c r="J58" i="3"/>
  <c r="J57" i="3"/>
  <c r="I167" i="1"/>
  <c r="J167" i="1"/>
  <c r="J213" i="1" s="1"/>
  <c r="K167" i="1"/>
  <c r="L167" i="1"/>
  <c r="L348" i="1" s="1"/>
  <c r="M167" i="1"/>
  <c r="O57" i="13" l="1"/>
  <c r="O13" i="13"/>
  <c r="J182" i="1"/>
  <c r="J14" i="1"/>
  <c r="M14" i="1"/>
  <c r="K32" i="1"/>
  <c r="L32" i="1"/>
  <c r="N14" i="1"/>
  <c r="I14" i="1"/>
  <c r="I16" i="1" s="1"/>
  <c r="M32" i="1"/>
  <c r="N32" i="1"/>
  <c r="K14" i="1"/>
  <c r="L14" i="1"/>
  <c r="H78" i="1"/>
  <c r="J16" i="1" l="1"/>
  <c r="I18" i="1"/>
  <c r="K5" i="1"/>
  <c r="H151" i="1"/>
  <c r="H150" i="1"/>
  <c r="G150" i="1"/>
  <c r="G151" i="1"/>
  <c r="C414" i="1" l="1"/>
  <c r="C70" i="13"/>
  <c r="K239" i="1"/>
  <c r="K49" i="1"/>
  <c r="K164" i="1"/>
  <c r="K210" i="1"/>
  <c r="K281" i="1"/>
  <c r="K129" i="1"/>
  <c r="K323" i="1"/>
  <c r="K95" i="1"/>
  <c r="J18" i="1"/>
  <c r="K16" i="1"/>
  <c r="L5" i="1"/>
  <c r="G152" i="1"/>
  <c r="G155" i="1" s="1"/>
  <c r="H152" i="1"/>
  <c r="C69" i="13" l="1"/>
  <c r="K70" i="13"/>
  <c r="C83" i="13"/>
  <c r="K83" i="13" s="1"/>
  <c r="I435" i="1"/>
  <c r="C71" i="13"/>
  <c r="J435" i="1"/>
  <c r="K435" i="1"/>
  <c r="L435" i="1"/>
  <c r="M435" i="1"/>
  <c r="L95" i="1"/>
  <c r="L49" i="1"/>
  <c r="L281" i="1"/>
  <c r="L210" i="1"/>
  <c r="L323" i="1"/>
  <c r="L164" i="1"/>
  <c r="L129" i="1"/>
  <c r="L239" i="1"/>
  <c r="F109" i="3"/>
  <c r="F110" i="3" s="1"/>
  <c r="K18" i="1"/>
  <c r="K43" i="1" s="1"/>
  <c r="L16" i="1"/>
  <c r="M5" i="1"/>
  <c r="M129" i="1" s="1"/>
  <c r="H155" i="1"/>
  <c r="C72" i="13" l="1"/>
  <c r="K71" i="13"/>
  <c r="C84" i="13"/>
  <c r="K84" i="13" s="1"/>
  <c r="C68" i="13"/>
  <c r="K69" i="13"/>
  <c r="C82" i="13"/>
  <c r="K82" i="13" s="1"/>
  <c r="M164" i="1"/>
  <c r="M281" i="1"/>
  <c r="M95" i="1"/>
  <c r="M239" i="1"/>
  <c r="M49" i="1"/>
  <c r="M323" i="1"/>
  <c r="M210" i="1"/>
  <c r="L18" i="1"/>
  <c r="M16" i="1"/>
  <c r="K68" i="13" l="1"/>
  <c r="C81" i="13"/>
  <c r="K81" i="13" s="1"/>
  <c r="C85" i="13"/>
  <c r="K85" i="13" s="1"/>
  <c r="K72" i="13"/>
  <c r="M18" i="1"/>
  <c r="N16" i="1"/>
  <c r="N18" i="1" s="1"/>
  <c r="N43" i="1" s="1"/>
  <c r="K172" i="1"/>
  <c r="J25" i="1"/>
  <c r="H98" i="1" l="1"/>
  <c r="G98" i="1"/>
  <c r="H88" i="1"/>
  <c r="G78" i="1"/>
  <c r="G88" i="1" s="1"/>
  <c r="H60" i="1"/>
  <c r="H83" i="1" s="1"/>
  <c r="G60" i="1"/>
  <c r="G83" i="1" s="1"/>
  <c r="H26" i="1" l="1"/>
  <c r="G26" i="1"/>
  <c r="G43" i="1"/>
  <c r="H43" i="1"/>
  <c r="G25" i="1"/>
  <c r="H25" i="1"/>
  <c r="K25" i="1"/>
  <c r="L25" i="1"/>
  <c r="M25" i="1"/>
  <c r="N25" i="1"/>
  <c r="G39" i="1"/>
  <c r="J171" i="1"/>
  <c r="K171" i="1" s="1"/>
  <c r="L171" i="1" s="1"/>
  <c r="M171" i="1" s="1"/>
  <c r="L172" i="1"/>
  <c r="J177" i="1"/>
  <c r="K177" i="1" s="1"/>
  <c r="L177" i="1" s="1"/>
  <c r="M177" i="1" s="1"/>
  <c r="J183" i="1"/>
  <c r="J184" i="1"/>
  <c r="I184" i="1"/>
  <c r="I185" i="1"/>
  <c r="I186" i="1"/>
  <c r="N348" i="1"/>
  <c r="J186" i="1" l="1"/>
  <c r="J185" i="1"/>
  <c r="K185" i="1"/>
  <c r="K184" i="1"/>
  <c r="I32" i="1"/>
  <c r="I33" i="1" s="1"/>
  <c r="N98" i="1"/>
  <c r="H27" i="1"/>
  <c r="H38" i="1" s="1"/>
  <c r="H52" i="1" s="1"/>
  <c r="G27" i="1"/>
  <c r="G38" i="1" s="1"/>
  <c r="G40" i="1" s="1"/>
  <c r="K198" i="1"/>
  <c r="K178" i="1"/>
  <c r="J198" i="1"/>
  <c r="L198" i="1"/>
  <c r="L186" i="1" l="1"/>
  <c r="K186" i="1"/>
  <c r="L185" i="1"/>
  <c r="J33" i="1"/>
  <c r="G138" i="1"/>
  <c r="F114" i="1"/>
  <c r="K98" i="1"/>
  <c r="L98" i="1"/>
  <c r="M98" i="1"/>
  <c r="H71" i="1"/>
  <c r="H72" i="1"/>
  <c r="K182" i="1"/>
  <c r="L178" i="1"/>
  <c r="H70" i="1"/>
  <c r="H64" i="1"/>
  <c r="H63" i="1"/>
  <c r="H62" i="1"/>
  <c r="H40" i="1"/>
  <c r="G52" i="1"/>
  <c r="K183" i="1"/>
  <c r="M172" i="1"/>
  <c r="M198" i="1" s="1"/>
  <c r="L182" i="1" l="1"/>
  <c r="L183" i="1"/>
  <c r="L184" i="1"/>
  <c r="M186" i="1"/>
  <c r="F117" i="1"/>
  <c r="F123" i="1" s="1"/>
  <c r="C367" i="1"/>
  <c r="I388" i="1" s="1"/>
  <c r="C26" i="13"/>
  <c r="H138" i="1"/>
  <c r="I39" i="1"/>
  <c r="K33" i="1"/>
  <c r="J58" i="1"/>
  <c r="K58" i="1" s="1"/>
  <c r="L58" i="1" s="1"/>
  <c r="I98" i="1"/>
  <c r="J26" i="1"/>
  <c r="I43" i="1"/>
  <c r="I26" i="1"/>
  <c r="I27" i="1" s="1"/>
  <c r="I38" i="1" s="1"/>
  <c r="I52" i="1" s="1"/>
  <c r="I181" i="1"/>
  <c r="H73" i="1"/>
  <c r="H84" i="1" s="1"/>
  <c r="H85" i="1" s="1"/>
  <c r="G71" i="1"/>
  <c r="G72" i="1"/>
  <c r="G70" i="1"/>
  <c r="G62" i="1"/>
  <c r="G63" i="1"/>
  <c r="G64" i="1"/>
  <c r="H65" i="1"/>
  <c r="H87" i="1" s="1"/>
  <c r="H89" i="1" s="1"/>
  <c r="J181" i="1"/>
  <c r="M178" i="1"/>
  <c r="K26" i="13" l="1"/>
  <c r="C39" i="13"/>
  <c r="K39" i="13" s="1"/>
  <c r="I109" i="1"/>
  <c r="J109" i="1" s="1"/>
  <c r="K109" i="1" s="1"/>
  <c r="L109" i="1" s="1"/>
  <c r="M109" i="1" s="1"/>
  <c r="N109" i="1" s="1"/>
  <c r="I108" i="1"/>
  <c r="J108" i="1" s="1"/>
  <c r="K108" i="1" s="1"/>
  <c r="L108" i="1" s="1"/>
  <c r="M108" i="1" s="1"/>
  <c r="N108" i="1" s="1"/>
  <c r="J388" i="1"/>
  <c r="L388" i="1"/>
  <c r="K388" i="1"/>
  <c r="M182" i="1"/>
  <c r="M185" i="1"/>
  <c r="M184" i="1"/>
  <c r="M183" i="1"/>
  <c r="L33" i="1"/>
  <c r="M33" i="1" s="1"/>
  <c r="N33" i="1" s="1"/>
  <c r="K39" i="1"/>
  <c r="J27" i="1"/>
  <c r="J38" i="1" s="1"/>
  <c r="J52" i="1" s="1"/>
  <c r="J39" i="1"/>
  <c r="I213" i="1"/>
  <c r="I221" i="1" s="1"/>
  <c r="I228" i="1" s="1"/>
  <c r="I60" i="1"/>
  <c r="J57" i="1"/>
  <c r="J77" i="1"/>
  <c r="K77" i="1" s="1"/>
  <c r="L77" i="1" s="1"/>
  <c r="M77" i="1" s="1"/>
  <c r="N77" i="1" s="1"/>
  <c r="J76" i="1"/>
  <c r="K76" i="1" s="1"/>
  <c r="L76" i="1" s="1"/>
  <c r="M76" i="1" s="1"/>
  <c r="I78" i="1"/>
  <c r="I88" i="1" s="1"/>
  <c r="J75" i="1"/>
  <c r="K26" i="1"/>
  <c r="J43" i="1"/>
  <c r="I63" i="1"/>
  <c r="I40" i="1"/>
  <c r="J59" i="1"/>
  <c r="K59" i="1" s="1"/>
  <c r="L59" i="1" s="1"/>
  <c r="M59" i="1" s="1"/>
  <c r="N59" i="1" s="1"/>
  <c r="F182" i="1"/>
  <c r="F190" i="1" s="1"/>
  <c r="I189" i="1"/>
  <c r="G73" i="1"/>
  <c r="G84" i="1" s="1"/>
  <c r="G85" i="1" s="1"/>
  <c r="H105" i="1"/>
  <c r="G65" i="1"/>
  <c r="G87" i="1" s="1"/>
  <c r="G89" i="1" s="1"/>
  <c r="M58" i="1"/>
  <c r="J189" i="1"/>
  <c r="K181" i="1"/>
  <c r="I229" i="1" l="1"/>
  <c r="I252" i="1" s="1"/>
  <c r="G190" i="1"/>
  <c r="H190" i="1" s="1"/>
  <c r="I190" i="1" s="1"/>
  <c r="J60" i="1"/>
  <c r="J83" i="1" s="1"/>
  <c r="C25" i="13"/>
  <c r="J72" i="1"/>
  <c r="J40" i="1"/>
  <c r="K27" i="1"/>
  <c r="K38" i="1" s="1"/>
  <c r="K52" i="1" s="1"/>
  <c r="I72" i="1"/>
  <c r="I71" i="1"/>
  <c r="I64" i="1"/>
  <c r="F183" i="1"/>
  <c r="F191" i="1" s="1"/>
  <c r="I62" i="1"/>
  <c r="K57" i="1"/>
  <c r="I83" i="1"/>
  <c r="L26" i="1"/>
  <c r="I70" i="1"/>
  <c r="J221" i="1"/>
  <c r="J228" i="1" s="1"/>
  <c r="J348" i="1"/>
  <c r="K75" i="1"/>
  <c r="J78" i="1"/>
  <c r="J88" i="1" s="1"/>
  <c r="I103" i="1"/>
  <c r="I133" i="1" s="1"/>
  <c r="I144" i="1" s="1"/>
  <c r="G105" i="1"/>
  <c r="H139" i="1"/>
  <c r="H140" i="1"/>
  <c r="H110" i="1"/>
  <c r="N76" i="1"/>
  <c r="M39" i="1"/>
  <c r="N58" i="1"/>
  <c r="K189" i="1"/>
  <c r="L189" i="1"/>
  <c r="C24" i="13" l="1"/>
  <c r="K25" i="13"/>
  <c r="C38" i="13"/>
  <c r="K38" i="13" s="1"/>
  <c r="I230" i="1"/>
  <c r="C27" i="13"/>
  <c r="J70" i="1"/>
  <c r="J63" i="1"/>
  <c r="J62" i="1"/>
  <c r="J71" i="1"/>
  <c r="J64" i="1"/>
  <c r="F184" i="1"/>
  <c r="F185" i="1" s="1"/>
  <c r="F193" i="1" s="1"/>
  <c r="J103" i="1"/>
  <c r="J133" i="1" s="1"/>
  <c r="J144" i="1" s="1"/>
  <c r="K63" i="1"/>
  <c r="K40" i="1"/>
  <c r="L27" i="1"/>
  <c r="L38" i="1" s="1"/>
  <c r="L52" i="1" s="1"/>
  <c r="I73" i="1"/>
  <c r="I84" i="1" s="1"/>
  <c r="I85" i="1" s="1"/>
  <c r="I65" i="1"/>
  <c r="I87" i="1" s="1"/>
  <c r="I89" i="1" s="1"/>
  <c r="K348" i="1"/>
  <c r="K213" i="1"/>
  <c r="M26" i="1"/>
  <c r="L43" i="1"/>
  <c r="L75" i="1"/>
  <c r="K78" i="1"/>
  <c r="K88" i="1" s="1"/>
  <c r="L57" i="1"/>
  <c r="K60" i="1"/>
  <c r="K83" i="1" s="1"/>
  <c r="G110" i="1"/>
  <c r="H114" i="1"/>
  <c r="G140" i="1"/>
  <c r="N39" i="1"/>
  <c r="L39" i="1"/>
  <c r="L181" i="1"/>
  <c r="G191" i="1"/>
  <c r="H191" i="1" s="1"/>
  <c r="K191" i="1" s="1"/>
  <c r="C28" i="13" l="1"/>
  <c r="C40" i="13"/>
  <c r="K40" i="13" s="1"/>
  <c r="K27" i="13"/>
  <c r="C37" i="13"/>
  <c r="K37" i="13" s="1"/>
  <c r="K24" i="13"/>
  <c r="I294" i="1"/>
  <c r="J227" i="1"/>
  <c r="F192" i="1"/>
  <c r="G192" i="1" s="1"/>
  <c r="H192" i="1" s="1"/>
  <c r="L192" i="1" s="1"/>
  <c r="F186" i="1"/>
  <c r="F194" i="1" s="1"/>
  <c r="G194" i="1" s="1"/>
  <c r="H194" i="1" s="1"/>
  <c r="M194" i="1" s="1"/>
  <c r="J65" i="1"/>
  <c r="J87" i="1" s="1"/>
  <c r="J89" i="1" s="1"/>
  <c r="J73" i="1"/>
  <c r="J84" i="1" s="1"/>
  <c r="J85" i="1" s="1"/>
  <c r="I104" i="1"/>
  <c r="K71" i="1"/>
  <c r="K62" i="1"/>
  <c r="K103" i="1"/>
  <c r="K133" i="1" s="1"/>
  <c r="K144" i="1" s="1"/>
  <c r="K72" i="1"/>
  <c r="K70" i="1"/>
  <c r="K64" i="1"/>
  <c r="L62" i="1"/>
  <c r="L40" i="1"/>
  <c r="M27" i="1"/>
  <c r="M38" i="1" s="1"/>
  <c r="M75" i="1"/>
  <c r="L78" i="1"/>
  <c r="L88" i="1" s="1"/>
  <c r="M43" i="1"/>
  <c r="K221" i="1"/>
  <c r="K228" i="1" s="1"/>
  <c r="M57" i="1"/>
  <c r="L60" i="1"/>
  <c r="L83" i="1" s="1"/>
  <c r="L213" i="1"/>
  <c r="G114" i="1"/>
  <c r="H117" i="1"/>
  <c r="G193" i="1"/>
  <c r="H193" i="1" s="1"/>
  <c r="I193" i="1" s="1"/>
  <c r="L72" i="1"/>
  <c r="L71" i="1"/>
  <c r="L64" i="1"/>
  <c r="L63" i="1"/>
  <c r="L70" i="1"/>
  <c r="M181" i="1"/>
  <c r="M189" i="1"/>
  <c r="M191" i="1"/>
  <c r="L191" i="1"/>
  <c r="J191" i="1"/>
  <c r="I191" i="1"/>
  <c r="K28" i="13" l="1"/>
  <c r="C41" i="13"/>
  <c r="K41" i="13" s="1"/>
  <c r="J229" i="1"/>
  <c r="J230" i="1" s="1"/>
  <c r="K227" i="1" s="1"/>
  <c r="I105" i="1"/>
  <c r="I110" i="1" s="1"/>
  <c r="I335" i="1" s="1"/>
  <c r="I134" i="1"/>
  <c r="J104" i="1"/>
  <c r="J190" i="1"/>
  <c r="K73" i="1"/>
  <c r="K84" i="1" s="1"/>
  <c r="K85" i="1" s="1"/>
  <c r="K65" i="1"/>
  <c r="K87" i="1" s="1"/>
  <c r="K89" i="1" s="1"/>
  <c r="L103" i="1"/>
  <c r="L133" i="1" s="1"/>
  <c r="L144" i="1" s="1"/>
  <c r="M52" i="1"/>
  <c r="M70" i="1" s="1"/>
  <c r="M40" i="1"/>
  <c r="N26" i="1"/>
  <c r="N27" i="1" s="1"/>
  <c r="M213" i="1"/>
  <c r="M348" i="1"/>
  <c r="N57" i="1"/>
  <c r="N60" i="1" s="1"/>
  <c r="N83" i="1" s="1"/>
  <c r="M60" i="1"/>
  <c r="M83" i="1" s="1"/>
  <c r="L221" i="1"/>
  <c r="L228" i="1" s="1"/>
  <c r="N75" i="1"/>
  <c r="N78" i="1" s="1"/>
  <c r="N88" i="1" s="1"/>
  <c r="M78" i="1"/>
  <c r="M88" i="1" s="1"/>
  <c r="G117" i="1"/>
  <c r="H123" i="1"/>
  <c r="L193" i="1"/>
  <c r="M193" i="1"/>
  <c r="K193" i="1"/>
  <c r="J193" i="1"/>
  <c r="L65" i="1"/>
  <c r="L87" i="1" s="1"/>
  <c r="L89" i="1" s="1"/>
  <c r="L73" i="1"/>
  <c r="L84" i="1" s="1"/>
  <c r="L85" i="1" s="1"/>
  <c r="M190" i="1"/>
  <c r="L190" i="1"/>
  <c r="K190" i="1"/>
  <c r="M192" i="1"/>
  <c r="I192" i="1"/>
  <c r="J192" i="1"/>
  <c r="K192" i="1"/>
  <c r="K229" i="1" l="1"/>
  <c r="K230" i="1" s="1"/>
  <c r="L227" i="1" s="1"/>
  <c r="J252" i="1"/>
  <c r="J294" i="1"/>
  <c r="I145" i="1"/>
  <c r="I150" i="1" s="1"/>
  <c r="I146" i="1"/>
  <c r="I151" i="1" s="1"/>
  <c r="J105" i="1"/>
  <c r="J134" i="1"/>
  <c r="J145" i="1" s="1"/>
  <c r="J150" i="1" s="1"/>
  <c r="L194" i="1"/>
  <c r="L199" i="1" s="1"/>
  <c r="L200" i="1" s="1"/>
  <c r="M199" i="1"/>
  <c r="M200" i="1" s="1"/>
  <c r="K104" i="1"/>
  <c r="M71" i="1"/>
  <c r="M72" i="1"/>
  <c r="M64" i="1"/>
  <c r="M103" i="1"/>
  <c r="M62" i="1"/>
  <c r="M63" i="1"/>
  <c r="N38" i="1"/>
  <c r="J194" i="1"/>
  <c r="J199" i="1" s="1"/>
  <c r="J200" i="1" s="1"/>
  <c r="I194" i="1"/>
  <c r="K194" i="1"/>
  <c r="K199" i="1" s="1"/>
  <c r="K200" i="1" s="1"/>
  <c r="M221" i="1"/>
  <c r="M228" i="1" s="1"/>
  <c r="G123" i="1"/>
  <c r="L104" i="1"/>
  <c r="K294" i="1" l="1"/>
  <c r="K252" i="1"/>
  <c r="L229" i="1"/>
  <c r="L252" i="1" s="1"/>
  <c r="J110" i="1"/>
  <c r="M133" i="1"/>
  <c r="M144" i="1" s="1"/>
  <c r="L113" i="1"/>
  <c r="L344" i="1" s="1"/>
  <c r="M113" i="1"/>
  <c r="M344" i="1" s="1"/>
  <c r="J222" i="1"/>
  <c r="K113" i="1"/>
  <c r="K344" i="1" s="1"/>
  <c r="J146" i="1"/>
  <c r="J151" i="1" s="1"/>
  <c r="J152" i="1" s="1"/>
  <c r="I152" i="1"/>
  <c r="I199" i="1"/>
  <c r="I200" i="1" s="1"/>
  <c r="L105" i="1"/>
  <c r="L110" i="1" s="1"/>
  <c r="L134" i="1"/>
  <c r="K105" i="1"/>
  <c r="K110" i="1" s="1"/>
  <c r="K134" i="1"/>
  <c r="M73" i="1"/>
  <c r="M84" i="1" s="1"/>
  <c r="M85" i="1" s="1"/>
  <c r="M65" i="1"/>
  <c r="M87" i="1" s="1"/>
  <c r="M89" i="1" s="1"/>
  <c r="N52" i="1"/>
  <c r="N40" i="1"/>
  <c r="L222" i="1"/>
  <c r="J113" i="1"/>
  <c r="J344" i="1" s="1"/>
  <c r="K222" i="1"/>
  <c r="M222" i="1"/>
  <c r="I222" i="1" l="1"/>
  <c r="L230" i="1"/>
  <c r="M227" i="1" s="1"/>
  <c r="M229" i="1" s="1"/>
  <c r="L294" i="1"/>
  <c r="J335" i="1"/>
  <c r="I155" i="1"/>
  <c r="J155" i="1"/>
  <c r="J338" i="1" s="1"/>
  <c r="J349" i="1" s="1"/>
  <c r="I113" i="1"/>
  <c r="I344" i="1" s="1"/>
  <c r="K335" i="1"/>
  <c r="K145" i="1"/>
  <c r="K150" i="1" s="1"/>
  <c r="K146" i="1"/>
  <c r="K151" i="1" s="1"/>
  <c r="L146" i="1"/>
  <c r="L151" i="1" s="1"/>
  <c r="L145" i="1"/>
  <c r="L150" i="1" s="1"/>
  <c r="L335" i="1"/>
  <c r="M251" i="1"/>
  <c r="M293" i="1"/>
  <c r="K293" i="1"/>
  <c r="K251" i="1"/>
  <c r="J293" i="1"/>
  <c r="J251" i="1"/>
  <c r="L293" i="1"/>
  <c r="L251" i="1"/>
  <c r="M104" i="1"/>
  <c r="M134" i="1" s="1"/>
  <c r="N103" i="1"/>
  <c r="N133" i="1" s="1"/>
  <c r="N144" i="1" s="1"/>
  <c r="N71" i="1"/>
  <c r="N62" i="1"/>
  <c r="N63" i="1"/>
  <c r="N70" i="1"/>
  <c r="N64" i="1"/>
  <c r="N72" i="1"/>
  <c r="J114" i="1"/>
  <c r="L114" i="1"/>
  <c r="K114" i="1"/>
  <c r="I338" i="1" l="1"/>
  <c r="I349" i="1" s="1"/>
  <c r="I251" i="1"/>
  <c r="I293" i="1"/>
  <c r="I114" i="1"/>
  <c r="I223" i="1"/>
  <c r="L152" i="1"/>
  <c r="K152" i="1"/>
  <c r="M105" i="1"/>
  <c r="M110" i="1" s="1"/>
  <c r="M230" i="1"/>
  <c r="M294" i="1"/>
  <c r="M252" i="1"/>
  <c r="N65" i="1"/>
  <c r="N87" i="1" s="1"/>
  <c r="N89" i="1" s="1"/>
  <c r="N73" i="1"/>
  <c r="N84" i="1" s="1"/>
  <c r="N85" i="1" s="1"/>
  <c r="L117" i="1"/>
  <c r="K284" i="1"/>
  <c r="J284" i="1"/>
  <c r="J117" i="1"/>
  <c r="L284" i="1"/>
  <c r="K117" i="1"/>
  <c r="J242" i="1" l="1"/>
  <c r="K155" i="1"/>
  <c r="K338" i="1" s="1"/>
  <c r="K349" i="1" s="1"/>
  <c r="J220" i="1"/>
  <c r="J223" i="1" s="1"/>
  <c r="I284" i="1"/>
  <c r="I292" i="1" s="1"/>
  <c r="I313" i="1" s="1"/>
  <c r="I117" i="1"/>
  <c r="L242" i="1"/>
  <c r="L155" i="1"/>
  <c r="L338" i="1" s="1"/>
  <c r="L349" i="1" s="1"/>
  <c r="M146" i="1"/>
  <c r="M151" i="1" s="1"/>
  <c r="M145" i="1"/>
  <c r="M150" i="1" s="1"/>
  <c r="M335" i="1"/>
  <c r="M114" i="1"/>
  <c r="L292" i="1"/>
  <c r="L295" i="1" s="1"/>
  <c r="N104" i="1"/>
  <c r="K292" i="1"/>
  <c r="K313" i="1" s="1"/>
  <c r="K242" i="1"/>
  <c r="J292" i="1"/>
  <c r="I242" i="1" l="1"/>
  <c r="I250" i="1" s="1"/>
  <c r="I253" i="1" s="1"/>
  <c r="I256" i="1" s="1"/>
  <c r="I295" i="1"/>
  <c r="I298" i="1" s="1"/>
  <c r="I304" i="1"/>
  <c r="L298" i="1"/>
  <c r="L285" i="1"/>
  <c r="M284" i="1"/>
  <c r="M152" i="1"/>
  <c r="N105" i="1"/>
  <c r="N110" i="1" s="1"/>
  <c r="N134" i="1"/>
  <c r="K220" i="1"/>
  <c r="K223" i="1" s="1"/>
  <c r="J295" i="1"/>
  <c r="J304" i="1"/>
  <c r="M117" i="1"/>
  <c r="L304" i="1"/>
  <c r="L313" i="1"/>
  <c r="J250" i="1"/>
  <c r="K250" i="1"/>
  <c r="K262" i="1" s="1"/>
  <c r="K304" i="1"/>
  <c r="K295" i="1"/>
  <c r="L250" i="1"/>
  <c r="L262" i="1" s="1"/>
  <c r="J313" i="1"/>
  <c r="I262" i="1" l="1"/>
  <c r="J298" i="1"/>
  <c r="J285" i="1"/>
  <c r="K298" i="1"/>
  <c r="K285" i="1"/>
  <c r="I271" i="1"/>
  <c r="M292" i="1"/>
  <c r="M295" i="1" s="1"/>
  <c r="I285" i="1"/>
  <c r="I305" i="1" s="1"/>
  <c r="I306" i="1" s="1"/>
  <c r="M155" i="1"/>
  <c r="M338" i="1" s="1"/>
  <c r="M349" i="1" s="1"/>
  <c r="I243" i="1"/>
  <c r="I263" i="1" s="1"/>
  <c r="J253" i="1"/>
  <c r="J262" i="1"/>
  <c r="N146" i="1"/>
  <c r="N151" i="1" s="1"/>
  <c r="N145" i="1"/>
  <c r="N150" i="1" s="1"/>
  <c r="L220" i="1"/>
  <c r="L223" i="1" s="1"/>
  <c r="M242" i="1"/>
  <c r="J271" i="1"/>
  <c r="K253" i="1"/>
  <c r="K271" i="1"/>
  <c r="N335" i="1"/>
  <c r="N417" i="1" s="1"/>
  <c r="N114" i="1"/>
  <c r="G327" i="1" s="1"/>
  <c r="N327" i="1" s="1"/>
  <c r="L271" i="1"/>
  <c r="L253" i="1"/>
  <c r="I264" i="1" l="1"/>
  <c r="N421" i="1"/>
  <c r="N428" i="1" s="1"/>
  <c r="N435" i="1" s="1"/>
  <c r="M441" i="1" s="1"/>
  <c r="K256" i="1"/>
  <c r="K243" i="1"/>
  <c r="J256" i="1"/>
  <c r="J243" i="1"/>
  <c r="L256" i="1"/>
  <c r="L243" i="1"/>
  <c r="M298" i="1"/>
  <c r="M285" i="1"/>
  <c r="M304" i="1"/>
  <c r="M313" i="1"/>
  <c r="N152" i="1"/>
  <c r="N155" i="1" s="1"/>
  <c r="N338" i="1" s="1"/>
  <c r="N349" i="1" s="1"/>
  <c r="M250" i="1"/>
  <c r="M262" i="1" s="1"/>
  <c r="M220" i="1"/>
  <c r="M223" i="1" s="1"/>
  <c r="N117" i="1"/>
  <c r="G328" i="1" l="1"/>
  <c r="N328" i="1" s="1"/>
  <c r="N329" i="1" s="1"/>
  <c r="N336" i="1"/>
  <c r="N119" i="1"/>
  <c r="I299" i="1"/>
  <c r="I300" i="1" s="1"/>
  <c r="I311" i="1" s="1"/>
  <c r="I312" i="1" s="1"/>
  <c r="M271" i="1"/>
  <c r="M253" i="1"/>
  <c r="N347" i="1" l="1"/>
  <c r="I257" i="1"/>
  <c r="M256" i="1"/>
  <c r="M243" i="1"/>
  <c r="J303" i="1"/>
  <c r="J261" i="1"/>
  <c r="J263" i="1" s="1"/>
  <c r="J257" i="1" s="1"/>
  <c r="J258" i="1" s="1"/>
  <c r="J269" i="1" s="1"/>
  <c r="J328" i="1" s="1"/>
  <c r="N121" i="1"/>
  <c r="N123" i="1" s="1"/>
  <c r="N339" i="1"/>
  <c r="I258" i="1" l="1"/>
  <c r="I269" i="1" s="1"/>
  <c r="I328" i="1" s="1"/>
  <c r="J305" i="1"/>
  <c r="J299" i="1" s="1"/>
  <c r="J300" i="1" s="1"/>
  <c r="J311" i="1" s="1"/>
  <c r="J327" i="1" s="1"/>
  <c r="I327" i="1"/>
  <c r="I336" i="1" s="1"/>
  <c r="I339" i="1" s="1"/>
  <c r="J119" i="1"/>
  <c r="J270" i="1"/>
  <c r="J120" i="1" s="1"/>
  <c r="J345" i="1" s="1"/>
  <c r="J264" i="1"/>
  <c r="K261" i="1" s="1"/>
  <c r="K263" i="1" s="1"/>
  <c r="K257" i="1" s="1"/>
  <c r="K258" i="1" s="1"/>
  <c r="K269" i="1" s="1"/>
  <c r="K328" i="1" s="1"/>
  <c r="N343" i="1"/>
  <c r="I329" i="1" l="1"/>
  <c r="K270" i="1"/>
  <c r="K120" i="1" s="1"/>
  <c r="K345" i="1" s="1"/>
  <c r="I270" i="1"/>
  <c r="I120" i="1" s="1"/>
  <c r="I345" i="1" s="1"/>
  <c r="I119" i="1"/>
  <c r="J312" i="1"/>
  <c r="J306" i="1"/>
  <c r="K303" i="1" s="1"/>
  <c r="J336" i="1"/>
  <c r="J339" i="1" s="1"/>
  <c r="K119" i="1"/>
  <c r="K264" i="1"/>
  <c r="L261" i="1" s="1"/>
  <c r="L263" i="1" s="1"/>
  <c r="L257" i="1" s="1"/>
  <c r="L258" i="1" s="1"/>
  <c r="L269" i="1" s="1"/>
  <c r="L328" i="1" s="1"/>
  <c r="J329" i="1"/>
  <c r="J347" i="1" s="1"/>
  <c r="J121" i="1"/>
  <c r="I347" i="1" l="1"/>
  <c r="I121" i="1"/>
  <c r="I123" i="1" s="1"/>
  <c r="I343" i="1" s="1"/>
  <c r="K305" i="1"/>
  <c r="K299" i="1" s="1"/>
  <c r="K300" i="1" s="1"/>
  <c r="K311" i="1" s="1"/>
  <c r="N350" i="1"/>
  <c r="N353" i="1" s="1"/>
  <c r="L119" i="1"/>
  <c r="L270" i="1"/>
  <c r="L120" i="1" s="1"/>
  <c r="L345" i="1" s="1"/>
  <c r="L264" i="1"/>
  <c r="M261" i="1" s="1"/>
  <c r="J123" i="1"/>
  <c r="J343" i="1" s="1"/>
  <c r="I350" i="1" l="1"/>
  <c r="I416" i="1" s="1"/>
  <c r="I420" i="1" s="1"/>
  <c r="N416" i="1"/>
  <c r="N420" i="1" s="1"/>
  <c r="J350" i="1"/>
  <c r="J353" i="1" s="1"/>
  <c r="K306" i="1"/>
  <c r="L303" i="1" s="1"/>
  <c r="K327" i="1"/>
  <c r="K312" i="1"/>
  <c r="N369" i="1"/>
  <c r="M263" i="1"/>
  <c r="M264" i="1" s="1"/>
  <c r="D246" i="1" s="1"/>
  <c r="N427" i="1" l="1"/>
  <c r="N422" i="1"/>
  <c r="I353" i="1"/>
  <c r="I427" i="1"/>
  <c r="J416" i="1"/>
  <c r="J420" i="1" s="1"/>
  <c r="J427" i="1" s="1"/>
  <c r="J429" i="1" s="1"/>
  <c r="J369" i="1"/>
  <c r="J373" i="1" s="1"/>
  <c r="J380" i="1" s="1"/>
  <c r="J387" i="1" s="1"/>
  <c r="J389" i="1" s="1"/>
  <c r="I369" i="1"/>
  <c r="I373" i="1" s="1"/>
  <c r="I380" i="1" s="1"/>
  <c r="I422" i="1"/>
  <c r="M374" i="1"/>
  <c r="M381" i="1" s="1"/>
  <c r="K336" i="1"/>
  <c r="K339" i="1" s="1"/>
  <c r="K329" i="1"/>
  <c r="K347" i="1" s="1"/>
  <c r="L305" i="1"/>
  <c r="L299" i="1" s="1"/>
  <c r="L300" i="1" s="1"/>
  <c r="L311" i="1" s="1"/>
  <c r="M257" i="1"/>
  <c r="M258" i="1" s="1"/>
  <c r="M269" i="1" s="1"/>
  <c r="M328" i="1" s="1"/>
  <c r="L121" i="1"/>
  <c r="K121" i="1"/>
  <c r="K123" i="1" s="1"/>
  <c r="N434" i="1" l="1"/>
  <c r="N436" i="1" s="1"/>
  <c r="N429" i="1"/>
  <c r="I382" i="1"/>
  <c r="I387" i="1"/>
  <c r="I389" i="1" s="1"/>
  <c r="I434" i="1"/>
  <c r="I436" i="1" s="1"/>
  <c r="I429" i="1"/>
  <c r="J422" i="1"/>
  <c r="M388" i="1"/>
  <c r="M394" i="1" s="1"/>
  <c r="J382" i="1"/>
  <c r="J434" i="1"/>
  <c r="J375" i="1"/>
  <c r="L306" i="1"/>
  <c r="M303" i="1" s="1"/>
  <c r="L312" i="1"/>
  <c r="L327" i="1"/>
  <c r="L123" i="1"/>
  <c r="L343" i="1" s="1"/>
  <c r="K343" i="1"/>
  <c r="M119" i="1"/>
  <c r="M270" i="1"/>
  <c r="M120" i="1" s="1"/>
  <c r="M345" i="1" s="1"/>
  <c r="J436" i="1" l="1"/>
  <c r="K350" i="1"/>
  <c r="K353" i="1" s="1"/>
  <c r="L336" i="1"/>
  <c r="L339" i="1" s="1"/>
  <c r="L329" i="1"/>
  <c r="L347" i="1" s="1"/>
  <c r="M305" i="1"/>
  <c r="M299" i="1" s="1"/>
  <c r="M300" i="1" s="1"/>
  <c r="M311" i="1" s="1"/>
  <c r="I375" i="1"/>
  <c r="M121" i="1"/>
  <c r="M123" i="1" s="1"/>
  <c r="K416" i="1" l="1"/>
  <c r="K420" i="1" s="1"/>
  <c r="K427" i="1" s="1"/>
  <c r="K434" i="1" s="1"/>
  <c r="K369" i="1"/>
  <c r="K373" i="1" s="1"/>
  <c r="M306" i="1"/>
  <c r="D288" i="1" s="1"/>
  <c r="M327" i="1"/>
  <c r="M312" i="1"/>
  <c r="M343" i="1"/>
  <c r="K429" i="1" l="1"/>
  <c r="K422" i="1"/>
  <c r="L350" i="1"/>
  <c r="L353" i="1" s="1"/>
  <c r="K436" i="1"/>
  <c r="K375" i="1"/>
  <c r="K380" i="1"/>
  <c r="M336" i="1"/>
  <c r="M339" i="1" s="1"/>
  <c r="M329" i="1"/>
  <c r="M347" i="1" s="1"/>
  <c r="L369" i="1" l="1"/>
  <c r="L373" i="1" s="1"/>
  <c r="L380" i="1" s="1"/>
  <c r="L382" i="1" s="1"/>
  <c r="L416" i="1"/>
  <c r="L420" i="1" s="1"/>
  <c r="L427" i="1" s="1"/>
  <c r="L429" i="1" s="1"/>
  <c r="K382" i="1"/>
  <c r="K387" i="1"/>
  <c r="L375" i="1" l="1"/>
  <c r="L422" i="1"/>
  <c r="L387" i="1"/>
  <c r="L389" i="1" s="1"/>
  <c r="L434" i="1"/>
  <c r="M350" i="1"/>
  <c r="M353" i="1" s="1"/>
  <c r="K389" i="1"/>
  <c r="L436" i="1" l="1"/>
  <c r="M369" i="1"/>
  <c r="M373" i="1" s="1"/>
  <c r="M380" i="1" s="1"/>
  <c r="M382" i="1" s="1"/>
  <c r="H394" i="1" s="1"/>
  <c r="H399" i="1" s="1"/>
  <c r="H401" i="1" s="1"/>
  <c r="M399" i="1" s="1"/>
  <c r="M401" i="1" s="1"/>
  <c r="M416" i="1"/>
  <c r="M420" i="1" s="1"/>
  <c r="M427" i="1" s="1"/>
  <c r="M429" i="1" s="1"/>
  <c r="H441" i="1" s="1"/>
  <c r="H446" i="1" s="1"/>
  <c r="C67" i="13" s="1"/>
  <c r="H448" i="1" l="1"/>
  <c r="M446" i="1" s="1"/>
  <c r="M448" i="1" s="1"/>
  <c r="F57" i="13"/>
  <c r="M387" i="1"/>
  <c r="M393" i="1" s="1"/>
  <c r="M395" i="1" s="1"/>
  <c r="L393" i="1" s="1"/>
  <c r="M375" i="1"/>
  <c r="M422" i="1"/>
  <c r="M434" i="1"/>
  <c r="M440" i="1" s="1"/>
  <c r="M442" i="1" l="1"/>
  <c r="L440" i="1" s="1"/>
  <c r="M389" i="1"/>
  <c r="H393" i="1" s="1"/>
  <c r="L394" i="1"/>
  <c r="L395" i="1"/>
  <c r="M436" i="1"/>
  <c r="H440" i="1" s="1"/>
  <c r="L442" i="1" l="1"/>
  <c r="L441" i="1"/>
  <c r="C23" i="13"/>
  <c r="F13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<sst xmlns="http://schemas.openxmlformats.org/spreadsheetml/2006/main" count="550" uniqueCount="272">
  <si>
    <t>Table of Contents</t>
  </si>
  <si>
    <t>Model</t>
  </si>
  <si>
    <t>Revenue</t>
  </si>
  <si>
    <t>Days in Period</t>
  </si>
  <si>
    <t>Accounts Receivable</t>
  </si>
  <si>
    <t>(Days)</t>
  </si>
  <si>
    <t>Inventory</t>
  </si>
  <si>
    <t>Accounts Payable</t>
  </si>
  <si>
    <t>Net Working Capital</t>
  </si>
  <si>
    <t>Change in Working Capital</t>
  </si>
  <si>
    <t>Beginning</t>
  </si>
  <si>
    <t>Ending</t>
  </si>
  <si>
    <t>Plant Capacity</t>
  </si>
  <si>
    <t>(Units/Day)</t>
  </si>
  <si>
    <t>Sales Volume Growth</t>
  </si>
  <si>
    <t>Sales Volume</t>
  </si>
  <si>
    <t>Operational Efficiency</t>
  </si>
  <si>
    <t>(Units)</t>
  </si>
  <si>
    <t>Unit Price</t>
  </si>
  <si>
    <t>(USD/Unit)</t>
  </si>
  <si>
    <t>Pricing Increases</t>
  </si>
  <si>
    <t>Revenue Schedule</t>
  </si>
  <si>
    <t>All figures in USD thousands unless stated</t>
  </si>
  <si>
    <t>Cost Schedule</t>
  </si>
  <si>
    <t>Variable Costs</t>
  </si>
  <si>
    <t>Packaging</t>
  </si>
  <si>
    <t>Fixed Costs</t>
  </si>
  <si>
    <t>Insurance</t>
  </si>
  <si>
    <t>Utilities</t>
  </si>
  <si>
    <t>Inflation</t>
  </si>
  <si>
    <t>Transportation</t>
  </si>
  <si>
    <t>Subtotal</t>
  </si>
  <si>
    <t>Total Costs</t>
  </si>
  <si>
    <t>Average</t>
  </si>
  <si>
    <t>EBT</t>
  </si>
  <si>
    <t>Add: Accounting Depreciation</t>
  </si>
  <si>
    <t>Less: Tax Depreciation</t>
  </si>
  <si>
    <t>Taxable Income</t>
  </si>
  <si>
    <t>Income Statement</t>
  </si>
  <si>
    <t>Gross Profit</t>
  </si>
  <si>
    <t>EBITDA</t>
  </si>
  <si>
    <t>Depreciation</t>
  </si>
  <si>
    <t>EBIT</t>
  </si>
  <si>
    <t>Current Tax</t>
  </si>
  <si>
    <t>Deferred Tax</t>
  </si>
  <si>
    <t>Total Tax</t>
  </si>
  <si>
    <t>Net Income</t>
  </si>
  <si>
    <t>Other</t>
  </si>
  <si>
    <t>Interest</t>
  </si>
  <si>
    <t>Add: New Losses</t>
  </si>
  <si>
    <t>Current Taxes</t>
  </si>
  <si>
    <t>Deferred Taxes</t>
  </si>
  <si>
    <t>Total Taxes</t>
  </si>
  <si>
    <t>Tax Rate</t>
  </si>
  <si>
    <t>Profitable Before Taxes?</t>
  </si>
  <si>
    <t>Asset Schedule</t>
  </si>
  <si>
    <t>Capital Expenditure</t>
  </si>
  <si>
    <t>Accounting Depreciation</t>
  </si>
  <si>
    <t>Tax Depreciation</t>
  </si>
  <si>
    <t>Blended Tax Depreciation Rate</t>
  </si>
  <si>
    <t>EBT After Adjustment</t>
  </si>
  <si>
    <t>Less: Use of Tax Losses</t>
  </si>
  <si>
    <t>Earnings Before Tax (EBT)</t>
  </si>
  <si>
    <t>Existing Assets</t>
  </si>
  <si>
    <t>New Assets</t>
  </si>
  <si>
    <t>Year</t>
  </si>
  <si>
    <t>Capex</t>
  </si>
  <si>
    <t>Life</t>
  </si>
  <si>
    <t>Amounts for Depreciation</t>
  </si>
  <si>
    <t>Total Depreciation</t>
  </si>
  <si>
    <t>Per Yr</t>
  </si>
  <si>
    <t>Years</t>
  </si>
  <si>
    <t>First Year Accounting Depreciation</t>
  </si>
  <si>
    <t>First Year Tax Depreciation</t>
  </si>
  <si>
    <t>Percent of Full Year</t>
  </si>
  <si>
    <t>Useful Life: Existing Assets</t>
  </si>
  <si>
    <t>Useful Life: New Assets</t>
  </si>
  <si>
    <t>Sales Price</t>
  </si>
  <si>
    <t>Income Tax Schedule (Levered)</t>
  </si>
  <si>
    <t>Income Tax Schedule (Unlevered)</t>
  </si>
  <si>
    <t>Earnings Before Interest &amp; Tax (EBIT)</t>
  </si>
  <si>
    <t>EBIT After Adjustment</t>
  </si>
  <si>
    <t>Unlevered Free Cash Flow Schedule</t>
  </si>
  <si>
    <t>Unlevered Free Cash Flow</t>
  </si>
  <si>
    <t>Interest Expense</t>
  </si>
  <si>
    <t>Term</t>
  </si>
  <si>
    <t>Valuation</t>
  </si>
  <si>
    <t>Weighted Average Cost of Capital</t>
  </si>
  <si>
    <t>Enterprise Value</t>
  </si>
  <si>
    <t>Manual Method</t>
  </si>
  <si>
    <t>Terminal Growth Rate</t>
  </si>
  <si>
    <t>Valuation Date</t>
  </si>
  <si>
    <t>Terminal Value</t>
  </si>
  <si>
    <t>Total Cash Flow</t>
  </si>
  <si>
    <t>Years for Discounting</t>
  </si>
  <si>
    <t>(YY-MM-DD)</t>
  </si>
  <si>
    <t>WACC</t>
  </si>
  <si>
    <t>Name</t>
  </si>
  <si>
    <t>Region</t>
  </si>
  <si>
    <t>Debt</t>
  </si>
  <si>
    <t>Equity</t>
  </si>
  <si>
    <t>Debt/</t>
  </si>
  <si>
    <t>Capital</t>
  </si>
  <si>
    <t>Levered</t>
  </si>
  <si>
    <t>Unlevered</t>
  </si>
  <si>
    <t>Median</t>
  </si>
  <si>
    <t>Total Debt</t>
  </si>
  <si>
    <t>Cost of Debt</t>
  </si>
  <si>
    <t>Pre-Tax Cost of Debt</t>
  </si>
  <si>
    <t>After-Tax Cost of Debt</t>
  </si>
  <si>
    <t>Cost of Equity</t>
  </si>
  <si>
    <t>Risk Free Rate</t>
  </si>
  <si>
    <t>Cost</t>
  </si>
  <si>
    <t>Market Capitalization</t>
  </si>
  <si>
    <t>Total Capitalization</t>
  </si>
  <si>
    <t>Debt Capital</t>
  </si>
  <si>
    <t>Equity Capital</t>
  </si>
  <si>
    <t>Risk Premium for Equity</t>
  </si>
  <si>
    <t>Equity Value</t>
  </si>
  <si>
    <t>Net Debt</t>
  </si>
  <si>
    <t>Equity Value per Share</t>
  </si>
  <si>
    <t>Shares Outstanding</t>
  </si>
  <si>
    <t>($/sh)</t>
  </si>
  <si>
    <t>Current Taxes (Levered)</t>
  </si>
  <si>
    <t>Current Taxes (Unlevered)</t>
  </si>
  <si>
    <t>REVENUE</t>
  </si>
  <si>
    <t>PRICING</t>
  </si>
  <si>
    <t>VOLUME</t>
  </si>
  <si>
    <t>SG&amp;A</t>
  </si>
  <si>
    <t>Property Plant &amp; Equipment</t>
  </si>
  <si>
    <t>Materials</t>
  </si>
  <si>
    <t>TOTAL AMOUNTS</t>
  </si>
  <si>
    <t>COGS</t>
  </si>
  <si>
    <t>Total Tax Shield</t>
  </si>
  <si>
    <t>Drivers</t>
  </si>
  <si>
    <t>OPERATIONS</t>
  </si>
  <si>
    <t>FIXED COSTS</t>
  </si>
  <si>
    <t>VARIABLE COSTS</t>
  </si>
  <si>
    <t>SUMMARY</t>
  </si>
  <si>
    <t>Current Assets</t>
  </si>
  <si>
    <t>Current Liabilities</t>
  </si>
  <si>
    <t>Cash from Working Capital Items</t>
  </si>
  <si>
    <t>NET WORKING CAPITAL</t>
  </si>
  <si>
    <t>Weight</t>
  </si>
  <si>
    <t>Working Capital Schedule</t>
  </si>
  <si>
    <t>Target</t>
  </si>
  <si>
    <t>Capital Structure</t>
  </si>
  <si>
    <t>First Expected Cash Flow</t>
  </si>
  <si>
    <t>Current</t>
  </si>
  <si>
    <t>Debt / Equity</t>
  </si>
  <si>
    <t>Depreciation Schedule</t>
  </si>
  <si>
    <t xml:space="preserve"> </t>
  </si>
  <si>
    <t>Enterprise</t>
  </si>
  <si>
    <t>Value</t>
  </si>
  <si>
    <t>Current Stock Price</t>
  </si>
  <si>
    <t>Premium (Discount) to Stock Price</t>
  </si>
  <si>
    <t>(FD 000)</t>
  </si>
  <si>
    <t>(US$/sh)</t>
  </si>
  <si>
    <t>Per Share</t>
  </si>
  <si>
    <t>Model Drivers Set To</t>
  </si>
  <si>
    <t>DCF Valuation Modeling</t>
  </si>
  <si>
    <t>Driver Switch</t>
  </si>
  <si>
    <t>Inflation Rate</t>
  </si>
  <si>
    <t>Best Case</t>
  </si>
  <si>
    <t>Base Case</t>
  </si>
  <si>
    <t>Worst Case</t>
  </si>
  <si>
    <t>Europe</t>
  </si>
  <si>
    <t>Average Unlevered Beta</t>
  </si>
  <si>
    <t>Unused Tax Losses Remaining?</t>
  </si>
  <si>
    <t>First Year of Forecast</t>
  </si>
  <si>
    <t>Fiscal Year End</t>
  </si>
  <si>
    <t>Outputs</t>
  </si>
  <si>
    <t>Inputs</t>
  </si>
  <si>
    <t>Projected Interest Expense</t>
  </si>
  <si>
    <t>Future Energy Co.</t>
  </si>
  <si>
    <t>Surge Batteries Inc.</t>
  </si>
  <si>
    <t>Full Power Solutions Ltd.</t>
  </si>
  <si>
    <t>Earthcor Power Inc.</t>
  </si>
  <si>
    <t>Other Inputs</t>
  </si>
  <si>
    <t>Dates</t>
  </si>
  <si>
    <t>Selected Inputs</t>
  </si>
  <si>
    <t>Partial Period Adjustment</t>
  </si>
  <si>
    <t>Clean Green Ltd.</t>
  </si>
  <si>
    <t>Cash Flow Timing</t>
  </si>
  <si>
    <t>Incorrect Date Set for Valuation?</t>
  </si>
  <si>
    <t>Incorrect Date Set for First Cash Flow?</t>
  </si>
  <si>
    <t>Weighted Average Cost of Capital (WACC)</t>
  </si>
  <si>
    <t>(Years)</t>
  </si>
  <si>
    <t>First Fiscal Year End for Forecast</t>
  </si>
  <si>
    <t>Terminal Growth Greater Than or Equal To WACC?</t>
  </si>
  <si>
    <t xml:space="preserve">All PP&amp;E and capital expenditure is assumed depreciable (i.e. no land balance). </t>
  </si>
  <si>
    <t xml:space="preserve">The Enterprise Value from the XNPV Function is slightly different due to treatment of leap years. </t>
  </si>
  <si>
    <t>Two UFCF Methods Different?</t>
  </si>
  <si>
    <t xml:space="preserve">Model assumes no dispositions that would impact the PP&amp;E or the Tax Basis. </t>
  </si>
  <si>
    <t xml:space="preserve">Capital Expenditure </t>
  </si>
  <si>
    <t>ADJUSTMENT FOR DEPRECIATION</t>
  </si>
  <si>
    <t>TAX LOSSES</t>
  </si>
  <si>
    <t>TAXES</t>
  </si>
  <si>
    <t>TAX SHIELD FROM INTEREST</t>
  </si>
  <si>
    <t>EBITDA METHOD</t>
  </si>
  <si>
    <t>NET INCOME METHOD</t>
  </si>
  <si>
    <t>ENTERPRISE VALUE</t>
  </si>
  <si>
    <t>EQUITY VALUE</t>
  </si>
  <si>
    <t>EQUITY VALUE PER SHARE</t>
  </si>
  <si>
    <t>(YYYY)</t>
  </si>
  <si>
    <t>Operational Capacity Exceeded?</t>
  </si>
  <si>
    <t>Tax Basis for PP&amp;E</t>
  </si>
  <si>
    <t>Tax Losses</t>
  </si>
  <si>
    <t>Discounted Cash Flow Schedule: Perpetuity Method</t>
  </si>
  <si>
    <t>Discounted Cash Flow Schedule: Multiple Method</t>
  </si>
  <si>
    <t xml:space="preserve">We have assumed working capital amounts per day in terminal year are equal to the previous year. </t>
  </si>
  <si>
    <t xml:space="preserve">Tax Rate is a 5-Year Average. </t>
  </si>
  <si>
    <t xml:space="preserve">Levered beta is based on 5-year monthly data. </t>
  </si>
  <si>
    <t xml:space="preserve">Unlevered Beta = Levered Beta / (1 + (1 - Tax Rate) × Debt-to-Equity) </t>
  </si>
  <si>
    <t xml:space="preserve">Levered Beta = Unlevered Beta x (1 + (1 - Tax rate) x (Debt-to-Equity)) </t>
  </si>
  <si>
    <t xml:space="preserve">This schedule calculates depreciation on a straight-line basis. </t>
  </si>
  <si>
    <t xml:space="preserve">This schedule assumes that tax losses can be carried forward indefinitely into the future. </t>
  </si>
  <si>
    <t xml:space="preserve">This schedule assumes losses do not carry back to previous periods to reduce taxable income. </t>
  </si>
  <si>
    <t xml:space="preserve">Capital expenditure has been set equal to depreciation in the terminal year. </t>
  </si>
  <si>
    <t xml:space="preserve">This schedule assumes no deferred taxes in the terminal year. </t>
  </si>
  <si>
    <t>Dashboard: Multiple Method</t>
  </si>
  <si>
    <t>Discrete Forecast</t>
  </si>
  <si>
    <t>Labor</t>
  </si>
  <si>
    <t>PV of Discrete</t>
  </si>
  <si>
    <t>PV of Terminal</t>
  </si>
  <si>
    <t>Terminal Growth</t>
  </si>
  <si>
    <t>UNADJUSTED CASH FLOW</t>
  </si>
  <si>
    <t>ADJUSTED CASH FLOW</t>
  </si>
  <si>
    <t>DISCOUNTED CASH FLOW</t>
  </si>
  <si>
    <t xml:space="preserve">The Enterprise Value from the XNPV Function is slightly different from the Manual Method due to treatment of leap years. </t>
  </si>
  <si>
    <t>Terminal Multiple</t>
  </si>
  <si>
    <t xml:space="preserve">The Terminal EBITDA multiple should reflect a 'steady-state' industry multiple. </t>
  </si>
  <si>
    <t xml:space="preserve">These tables require the workbook calculation to be set to automatic to update. </t>
  </si>
  <si>
    <t xml:space="preserve">We have applied an LTM multiple to the EBITDA at the end of the terminal year to calculate the Terminal Value. </t>
  </si>
  <si>
    <t>Line Item</t>
  </si>
  <si>
    <t>Less: Net Debt</t>
  </si>
  <si>
    <t>Market Risk Premium</t>
  </si>
  <si>
    <t>Equity Risk Premium</t>
  </si>
  <si>
    <t>Country Risk Premium</t>
  </si>
  <si>
    <t>Tax Shield From Interest</t>
  </si>
  <si>
    <t>Dashboard: Perpetuity Method</t>
  </si>
  <si>
    <t>Terminal</t>
  </si>
  <si>
    <t>Adjustment</t>
  </si>
  <si>
    <t>Zaigham Ali, ACCA, CPA, CFA L1</t>
  </si>
  <si>
    <t>Financial Modeling &amp; Analysis</t>
  </si>
  <si>
    <t>Copyright &amp; Attribution</t>
  </si>
  <si>
    <t>© Zaigham Ali, ACCA, CPA, CFA L1 — prepared for educational and professional reference. Please credit the author when referencing or distributing.</t>
  </si>
  <si>
    <t>https://szaighamali.github.io/zaighamali.github.io</t>
  </si>
  <si>
    <t>Zaigham Ali, ACCA, CPA, CFA L1  |  Outputs</t>
  </si>
  <si>
    <t>Zaigham Ali, ACCA, CPA, CFA L1  |  Inputs</t>
  </si>
  <si>
    <t>Zaigham Ali, ACCA, CPA, CFA L1  |  Model</t>
  </si>
  <si>
    <r>
      <t xml:space="preserve">Main Outputs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</si>
  <si>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Enterprise Value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</si>
  <si>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Working Capital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</si>
  <si>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Tax Rate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</si>
  <si>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Beta </t>
    </r>
    <r>
      <rPr>
        <vertAlign val="superscript"/>
        <sz val="11"/>
        <color theme="1"/>
        <rFont val="Calibri"/>
        <family val="2"/>
        <scheme val="minor"/>
      </rPr>
      <t>2</t>
    </r>
  </si>
  <si>
    <r>
      <t xml:space="preserve">Beta </t>
    </r>
    <r>
      <rPr>
        <vertAlign val="superscript"/>
        <sz val="11"/>
        <color theme="1"/>
        <rFont val="Calibri"/>
        <family val="2"/>
        <scheme val="minor"/>
      </rPr>
      <t>3</t>
    </r>
  </si>
  <si>
    <r>
      <t xml:space="preserve">Levered Beta </t>
    </r>
    <r>
      <rPr>
        <vertAlign val="superscript"/>
        <sz val="11"/>
        <color theme="1"/>
        <rFont val="Calibri"/>
        <family val="2"/>
        <scheme val="minor"/>
      </rPr>
      <t>4</t>
    </r>
  </si>
  <si>
    <r>
      <t xml:space="preserve">Terminal EBITDA Multiple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</si>
  <si>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AMOUNTS PER DAY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</si>
  <si>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EXISTING ASSET DEPRECIATION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</si>
  <si>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NEW ASSET DEPRECIATION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</si>
  <si>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TOTAL ASSET DEPRECIATION </t>
    </r>
    <r>
      <rPr>
        <vertAlign val="superscript"/>
        <sz val="9"/>
        <color theme="1"/>
        <rFont val="Calibri"/>
        <family val="2"/>
        <scheme val="minor"/>
      </rPr>
      <t>2</t>
    </r>
  </si>
  <si>
    <r>
      <t xml:space="preserve">PROPERTY PLANT &amp; EQUIPMENT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</si>
  <si>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TAX BASIS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</si>
  <si>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ADJUSTMENT FOR TAX LOSSES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</si>
  <si>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Less: Use of Tax Losses </t>
    </r>
    <r>
      <rPr>
        <vertAlign val="superscript"/>
        <sz val="9"/>
        <color theme="1"/>
        <rFont val="Calibri"/>
        <family val="2"/>
        <scheme val="minor"/>
      </rPr>
      <t>2</t>
    </r>
  </si>
  <si>
    <r>
      <t xml:space="preserve">Depreciation </t>
    </r>
    <r>
      <rPr>
        <vertAlign val="superscript"/>
        <sz val="9"/>
        <color theme="1"/>
        <rFont val="Calibri"/>
        <family val="2"/>
        <scheme val="minor"/>
      </rPr>
      <t>1</t>
    </r>
  </si>
  <si>
    <r>
      <t xml:space="preserve">Deferred Tax </t>
    </r>
    <r>
      <rPr>
        <vertAlign val="superscript"/>
        <sz val="9"/>
        <color theme="1"/>
        <rFont val="Calibri"/>
        <family val="2"/>
        <scheme val="minor"/>
      </rPr>
      <t>2</t>
    </r>
  </si>
  <si>
    <r>
      <t xml:space="preserve">XNPV Function </t>
    </r>
    <r>
      <rPr>
        <vertAlign val="superscript"/>
        <sz val="9"/>
        <color theme="1"/>
        <rFont val="Calibri"/>
        <family val="2"/>
        <scheme val="minor"/>
      </rPr>
      <t>1</t>
    </r>
  </si>
  <si>
    <r>
      <t xml:space="preserve">Terminal Value </t>
    </r>
    <r>
      <rPr>
        <vertAlign val="superscript"/>
        <sz val="11"/>
        <color theme="1"/>
        <rFont val="Calibri"/>
        <family val="2"/>
        <scheme val="minor"/>
      </rPr>
      <t>1</t>
    </r>
  </si>
  <si>
    <r>
      <t xml:space="preserve">XNPV Function </t>
    </r>
    <r>
      <rPr>
        <vertAlign val="superscript"/>
        <sz val="9"/>
        <color theme="1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</si>
</sst>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164" formatCode="_-* #,##0.00_-;\-* #,##0.00_-;_-* &quot;-&quot;??_-;_-@_-"/>
    <numFmt numFmtId="165" formatCode="_(#,##0_)_%;\(#,##0\)_%;_(&quot;–&quot;_)_%;_(@_)_%"/>
    <numFmt numFmtId="166" formatCode="_-* #,##0_-;\(#,##0\)_-;_-* &quot;-&quot;_-;_-@_-"/>
    <numFmt numFmtId="167" formatCode="0&quot;A&quot;"/>
    <numFmt numFmtId="168" formatCode="0&quot;F&quot;"/>
    <numFmt numFmtId="169" formatCode="_(#,##0_);\(#,##0\);_(&quot;–&quot;_);_(@_)"/>
    <numFmt numFmtId="170" formatCode="#,##0_);[Red]\(#,##0\);\-"/>
    <numFmt numFmtId="171" formatCode="#,##0_);\(#,##0\);\-"/>
    <numFmt numFmtId="172" formatCode="_(#,##0.0%_);\(#,##0.0%\);_(&quot;–&quot;_)_%;_(@_)_%"/>
    <numFmt numFmtId="173" formatCode="0&quot;E&quot;"/>
    <numFmt numFmtId="174" formatCode="0.0%"/>
    <numFmt numFmtId="175" formatCode="_(#,##0.00_);\(#,##0.00\);_(&quot;–&quot;_);_(@_)"/>
    <numFmt numFmtId="176" formatCode="#,##0.0_);\(#,##0.0\);\-"/>
    <numFmt numFmtId="177" formatCode="#,##0.00_);\(#,##0.00\);\-"/>
    <numFmt numFmtId="178" formatCode="_(#,##0%_);\(#,##0%\);_(&quot;–&quot;_)_%;_(@_)_%"/>
    <numFmt numFmtId="179" formatCode="0&quot;F&quot;\ "/>
    <numFmt numFmtId="180" formatCode="yy/mm/dd"/>
    <numFmt numFmtId="181" formatCode="_(0.00\x_)_)_';_(\(0.00\x\)_'_';_(&quot;–&quot;_);_(@_)"/>
    <numFmt numFmtId="182" formatCode="_-* #,##0_-;\-* #,##0_-;_-* &quot;-&quot;??_-;_-@_-"/>
    <numFmt numFmtId="183" formatCode="yyyy/mm/dd;@"/>
    <numFmt numFmtId="184" formatCode="_(#,##0.0_);\(#,##0.0\);_(&quot;–&quot;_);_(@_)"/>
    <numFmt numFmtId="185" formatCode="[=1]&quot;Yes&quot;_);[=0]&quot;No&quot;_)"/>
    <numFmt numFmtId="186" formatCode="@\⁽\¹\⁾"/>
    <numFmt numFmtId="187" formatCode="@\⁽\²\⁾"/>
    <numFmt numFmtId="188" formatCode="[=0]&quot;-&quot;_);[=1]&quot;Yes&quot;_)"/>
    <numFmt numFmtId="189" formatCode="&quot;Yes&quot;;&quot;ERROR&quot;;&quot;No&quot;;&quot;ERROR&quot;"/>
    <numFmt numFmtId="190" formatCode="#,##0_)\⁽\⁹\⁾;\(#,##0\)\⁽\⁹\⁾"/>
    <numFmt numFmtId="191" formatCode="_(#,##0_)\⁽\¹\⁾;\(#,##0\)\⁽\¹\⁾;_(&quot;–&quot;_)\⁽\¹\⁾;_(@_)\⁽\¹\⁾"/>
    <numFmt numFmtId="192" formatCode="_(#,##0_)\⁽\²\⁾;\(#,##0\)\⁽\²\⁾;_(&quot;–&quot;_)\⁽\²\⁾;_(@_)\⁽\²\⁾"/>
    <numFmt numFmtId="193" formatCode="@\⁽\³\⁾"/>
    <numFmt numFmtId="194" formatCode="@\⁽\⁴\⁾"/>
    <numFmt numFmtId="195" formatCode="&quot;Yes&quot;_);&quot;ERROR&quot;_);&quot;No&quot;_);&quot;ERROR&quot;_)"/>
    <numFmt numFmtId="196" formatCode="_(0.0000\x_);\(0.0000\x\);_(&quot;–&quot;_);_(@_)"/>
    <numFmt numFmtId="197" formatCode="_(0.0\x_);\(0.0\x\);_(&quot;–&quot;_);_(@_)"/>
    <numFmt numFmtId="198" formatCode="_-* #,##0.00_-;\(#,##0.00\)_-;_-* &quot;-&quot;_-;_-@_-"/>
    <numFmt numFmtId="199" formatCode="0000_)"/>
    <numFmt numFmtId="200" formatCode="yyyy/mm/dd_)"/>
    <numFmt numFmtId="201" formatCode="&quot;Yr&quot;\ 0_)"/>
  </numFmts>
  <fonts count="7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0"/>
      <color theme="0"/>
      <name val="Open Sans"/>
      <family val="2"/>
    </font>
    <font>
      <sz val="10"/>
      <color theme="0"/>
      <name val="Open Sans"/>
      <family val="2"/>
    </font>
    <font>
      <u/>
      <sz val="10"/>
      <color theme="10"/>
      <name val="Arial"/>
      <family val="2"/>
    </font>
    <font>
      <sz val="11"/>
      <color theme="0"/>
      <name val="Open Sans"/>
      <family val="2"/>
    </font>
    <font>
      <sz val="10"/>
      <name val="Bookman"/>
      <family val="1"/>
    </font>
    <font>
      <sz val="11"/>
      <color theme="1"/>
      <name val="Open Sans"/>
      <family val="2"/>
    </font>
    <font>
      <i/>
      <sz val="11"/>
      <color theme="1"/>
      <name val="Open Sans"/>
      <family val="2"/>
    </font>
    <font>
      <sz val="14"/>
      <color theme="1"/>
      <name val="Open Sans"/>
      <family val="2"/>
    </font>
    <font>
      <i/>
      <sz val="9"/>
      <name val="Open Sans"/>
      <family val="2"/>
    </font>
    <font>
      <b/>
      <sz val="10"/>
      <name val="Open Sans"/>
      <family val="2"/>
    </font>
    <font>
      <sz val="11"/>
      <name val="Open Sans"/>
      <family val="2"/>
    </font>
    <font>
      <sz val="10"/>
      <color rgb="FF000000"/>
      <name val="Open Sans"/>
      <family val="2"/>
    </font>
    <font>
      <sz val="10"/>
      <name val="Open Sans"/>
      <family val="2"/>
    </font>
    <font>
      <sz val="10"/>
      <color rgb="FF3271D2"/>
      <name val="Open Sans"/>
      <family val="2"/>
    </font>
    <font>
      <b/>
      <sz val="10"/>
      <color rgb="FF000000"/>
      <name val="Open Sans"/>
      <family val="2"/>
    </font>
    <font>
      <i/>
      <sz val="10"/>
      <name val="Open Sans"/>
      <family val="2"/>
    </font>
    <font>
      <i/>
      <sz val="8"/>
      <name val="Open Sans"/>
      <family val="2"/>
    </font>
    <font>
      <b/>
      <sz val="11"/>
      <name val="Open Sans"/>
      <family val="2"/>
    </font>
    <font>
      <sz val="10"/>
      <color rgb="FFFF0000"/>
      <name val="Open Sans"/>
      <family val="2"/>
    </font>
    <font>
      <i/>
      <sz val="10"/>
      <color rgb="FF000000"/>
      <name val="Open Sans"/>
      <family val="2"/>
    </font>
    <font>
      <i/>
      <sz val="9"/>
      <color rgb="FF000000"/>
      <name val="Open Sans"/>
      <family val="2"/>
    </font>
    <font>
      <b/>
      <sz val="10"/>
      <color rgb="FFFFFFFF"/>
      <name val="Open Sans"/>
      <family val="2"/>
    </font>
    <font>
      <sz val="10"/>
      <color theme="9" tint="-0.249977111117893"/>
      <name val="Open Sans"/>
      <family val="2"/>
    </font>
    <font>
      <b/>
      <i/>
      <sz val="10"/>
      <color theme="0"/>
      <name val="Open Sans"/>
      <family val="2"/>
    </font>
    <font>
      <b/>
      <i/>
      <sz val="10"/>
      <name val="Open Sans"/>
      <family val="2"/>
    </font>
    <font>
      <sz val="8"/>
      <name val="Open Sans"/>
      <family val="2"/>
    </font>
    <font>
      <b/>
      <sz val="10"/>
      <color theme="1"/>
      <name val="Open Sans"/>
      <family val="2"/>
    </font>
    <font>
      <i/>
      <sz val="10"/>
      <color theme="1"/>
      <name val="Open Sans"/>
      <family val="2"/>
    </font>
    <font>
      <u/>
      <sz val="11"/>
      <color theme="10"/>
      <name val="Calibri"/>
      <family val="2"/>
      <scheme val="minor"/>
    </font>
    <font>
      <sz val="12"/>
      <color theme="1"/>
      <name val="Open Sans"/>
      <family val="2"/>
    </font>
    <font>
      <b/>
      <sz val="14"/>
      <color theme="0"/>
      <name val="Open Sans"/>
      <family val="2"/>
    </font>
    <font>
      <i/>
      <sz val="10"/>
      <color rgb="FFFF0000"/>
      <name val="Open Sans"/>
      <family val="2"/>
    </font>
    <font>
      <sz val="9"/>
      <name val="Open Sans"/>
      <family val="2"/>
    </font>
    <font>
      <b/>
      <sz val="10"/>
      <color rgb="FF555555"/>
      <name val="Open Sans"/>
      <family val="2"/>
    </font>
    <font>
      <sz val="14"/>
      <color rgb="FF000000"/>
      <name val="Open Sans"/>
      <family val="2"/>
    </font>
    <font>
      <sz val="11"/>
      <color rgb="FFFA621C"/>
      <name val="Open Sans"/>
      <family val="2"/>
    </font>
    <font>
      <i/>
      <sz val="9"/>
      <color theme="1"/>
      <name val="Open Sans"/>
      <family val="2"/>
    </font>
    <font>
      <i/>
      <sz val="11"/>
      <color rgb="FF000000"/>
      <name val="Open Sans"/>
      <family val="2"/>
    </font>
    <font>
      <i/>
      <sz val="8"/>
      <color theme="1"/>
      <name val="Open Sans"/>
      <family val="2"/>
    </font>
    <font>
      <i/>
      <sz val="8"/>
      <color rgb="FF000000"/>
      <name val="Open Sans"/>
      <family val="2"/>
    </font>
    <font>
      <b/>
      <sz val="9"/>
      <color rgb="FF000000"/>
      <name val="Open Sans"/>
      <family val="2"/>
    </font>
    <font>
      <sz val="11"/>
      <color rgb="FF000000"/>
      <name val="Open Sans"/>
      <family val="2"/>
    </font>
    <font>
      <sz val="9"/>
      <color rgb="FF000000"/>
      <name val="Open Sans"/>
      <family val="2"/>
    </font>
    <font>
      <sz val="10"/>
      <color rgb="FFC32838"/>
      <name val="Open Sans"/>
      <family val="2"/>
    </font>
    <font>
      <sz val="11"/>
      <color rgb="FFC32838"/>
      <name val="Open Sans"/>
      <family val="2"/>
    </font>
    <font>
      <sz val="14"/>
      <color rgb="FF555555"/>
      <name val="Open Sans"/>
      <family val="2"/>
    </font>
    <font>
      <sz val="11"/>
      <color rgb="FF555555"/>
      <name val="Open Sans"/>
      <family val="2"/>
    </font>
    <font>
      <sz val="9"/>
      <color theme="0"/>
      <name val="Open Sans"/>
      <family val="2"/>
    </font>
    <font>
      <sz val="11"/>
      <color rgb="FFFFFFFF"/>
      <name val="Open Sans"/>
      <family val="2"/>
    </font>
    <font>
      <b/>
      <sz val="28"/>
      <color rgb="FFC9A96E"/>
      <name val="Open Sans"/>
      <family val="2"/>
    </font>
    <font>
      <i/>
      <sz val="16"/>
      <color rgb="FFC9A96E"/>
      <name val="Open Sans"/>
      <family val="2"/>
    </font>
    <font>
      <b/>
      <sz val="18"/>
      <color rgb="FFFFFFFF"/>
      <name val="Open Sans"/>
      <family val="2"/>
    </font>
    <font>
      <b/>
      <sz val="12"/>
      <color rgb="FFC9A96E"/>
      <name val="Open Sans"/>
      <family val="2"/>
    </font>
    <font>
      <u/>
      <sz val="11"/>
      <color rgb="FFC9A96E"/>
      <name val="Open Sans"/>
      <family val="2"/>
    </font>
    <font>
      <b/>
      <sz val="11"/>
      <color rgb="FFC9A96E"/>
      <name val="Open Sans"/>
      <family val="2"/>
    </font>
    <font>
      <sz val="10"/>
      <color rgb="FFFFFFFF"/>
      <name val="Open Sans"/>
      <family val="2"/>
    </font>
    <font>
      <b/>
      <i/>
      <sz val="10"/>
      <color rgb="FFFFFFFF"/>
      <name val="Open Sans"/>
      <family val="2"/>
    </font>
    <font>
      <sz val="9"/>
      <color rgb="FFFFFFFF"/>
      <name val="Open Sans"/>
      <family val="2"/>
    </font>
    <font>
      <b/>
      <sz val="10"/>
      <color rgb="FF1F4E79"/>
      <name val="Open Sans"/>
      <family val="2"/>
    </font>
    <font>
      <sz val="10"/>
      <color rgb="FF1F4E79"/>
      <name val="Open Sans"/>
      <family val="2"/>
    </font>
    <font>
      <b/>
      <sz val="14"/>
      <color rgb="FF1F4E79"/>
      <name val="Open Sans"/>
      <family val="2"/>
    </font>
    <font>
      <b/>
      <sz val="11"/>
      <color rgb="FF1F4E79"/>
      <name val="Open Sans"/>
      <family val="2"/>
    </font>
    <font>
      <b/>
      <sz val="11"/>
      <color rgb="FF000000"/>
      <name val="Open Sans"/>
      <family val="2"/>
    </font>
    <font>
      <b/>
      <i/>
      <sz val="11"/>
      <color rgb="FF000000"/>
      <name val="Open Sans"/>
      <family val="2"/>
    </font>
    <font>
      <b/>
      <i/>
      <sz val="10"/>
      <color rgb="FF1F4E79"/>
      <name val="Open Sans"/>
      <family val="2"/>
    </font>
    <font>
      <i/>
      <sz val="10"/>
      <color rgb="FF1F4E79"/>
      <name val="Open Sans"/>
      <family val="2"/>
    </font>
    <font>
      <vertAlign val="superscript"/>
      <sz val="11"/>
      <color theme="1"/>
      <name val="Calibri"/>
      <family val="2"/>
      <scheme val="minor"/>
    </font>
    <font>
      <vertAlign val="superscript"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32E57"/>
        <bgColor indexed="64"/>
      </patternFill>
    </fill>
    <fill>
      <patternFill patternType="solid">
        <fgColor rgb="FFD9E5F7"/>
        <bgColor rgb="FF000000"/>
      </patternFill>
    </fill>
    <fill>
      <patternFill patternType="solid">
        <fgColor rgb="FF0B2545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rgb="FF3271D2"/>
      </bottom>
      <diagonal/>
    </border>
    <border>
      <left/>
      <right/>
      <top style="thin">
        <color rgb="FF3271D2"/>
      </top>
      <bottom style="medium">
        <color rgb="FF3271D2"/>
      </bottom>
      <diagonal/>
    </border>
    <border>
      <left/>
      <right/>
      <top/>
      <bottom style="hair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/>
      <top style="thin">
        <color rgb="FF3271D2"/>
      </top>
      <bottom/>
      <diagonal/>
    </border>
    <border>
      <left/>
      <right/>
      <top/>
      <bottom style="thin">
        <color rgb="FF3271D2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indexed="64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FA621C"/>
      </top>
      <bottom/>
      <diagonal/>
    </border>
    <border>
      <left/>
      <right/>
      <top style="medium">
        <color rgb="FF3271D2"/>
      </top>
      <bottom/>
      <diagonal/>
    </border>
    <border>
      <left/>
      <right style="thin">
        <color rgb="FFFA621C"/>
      </right>
      <top style="thin">
        <color rgb="FFFA621C"/>
      </top>
      <bottom style="thin">
        <color rgb="FFFA621C"/>
      </bottom>
      <diagonal/>
    </border>
    <border>
      <left style="thin">
        <color rgb="FFFA621C"/>
      </left>
      <right/>
      <top style="thin">
        <color rgb="FFFA621C"/>
      </top>
      <bottom style="thin">
        <color rgb="FFFA621C"/>
      </bottom>
      <diagonal/>
    </border>
    <border>
      <left/>
      <right/>
      <top style="thin">
        <color rgb="FFFA621C"/>
      </top>
      <bottom style="thin">
        <color rgb="FFFA621C"/>
      </bottom>
      <diagonal/>
    </border>
    <border>
      <left style="thin">
        <color rgb="FF3271D2"/>
      </left>
      <right/>
      <top style="thin">
        <color rgb="FF3271D2"/>
      </top>
      <bottom/>
      <diagonal/>
    </border>
    <border>
      <left style="thin">
        <color rgb="FF3271D2"/>
      </left>
      <right/>
      <top/>
      <bottom/>
      <diagonal/>
    </border>
    <border>
      <left style="thin">
        <color rgb="FF3271D2"/>
      </left>
      <right style="thin">
        <color rgb="FF3271D2"/>
      </right>
      <top style="thin">
        <color rgb="FF3271D2"/>
      </top>
      <bottom/>
      <diagonal/>
    </border>
    <border>
      <left style="thin">
        <color rgb="FF3271D2"/>
      </left>
      <right style="thin">
        <color rgb="FF3271D2"/>
      </right>
      <top/>
      <bottom/>
      <diagonal/>
    </border>
    <border>
      <left style="thin">
        <color rgb="FF3271D2"/>
      </left>
      <right style="thin">
        <color rgb="FF3271D2"/>
      </right>
      <top/>
      <bottom style="medium">
        <color rgb="FF3271D2"/>
      </bottom>
      <diagonal/>
    </border>
    <border>
      <left style="thin">
        <color rgb="FFFA621C"/>
      </left>
      <right/>
      <top/>
      <bottom/>
      <diagonal/>
    </border>
    <border>
      <left style="thin">
        <color rgb="FFFA621C"/>
      </left>
      <right/>
      <top style="thin">
        <color rgb="FFFA621C"/>
      </top>
      <bottom/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16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1" fillId="0" borderId="0" applyNumberFormat="0" applyFill="0" applyBorder="0" applyAlignment="0" applyProtection="0"/>
  </cellStyleXfs>
  <cellXfs count="593">
    <xf numFmtId="0" fontId="0" fillId="0" borderId="0" xfId="0"/>
    <xf numFmtId="166" fontId="8" fillId="0" borderId="0" xfId="5" applyNumberFormat="1" applyFont="1" applyProtection="1">
      <protection locked="0"/>
    </xf>
    <xf numFmtId="166" fontId="9" fillId="0" borderId="0" xfId="5" applyNumberFormat="1" applyFont="1" applyProtection="1">
      <protection locked="0"/>
    </xf>
    <xf numFmtId="166" fontId="9" fillId="0" borderId="0" xfId="5" applyNumberFormat="1" applyFont="1" applyAlignment="1" applyProtection="1">
      <alignment horizontal="center"/>
      <protection locked="0"/>
    </xf>
    <xf numFmtId="166" fontId="9" fillId="0" borderId="0" xfId="5" applyNumberFormat="1" applyFont="1" applyAlignment="1">
      <alignment horizontal="right"/>
    </xf>
    <xf numFmtId="37" fontId="10" fillId="0" borderId="0" xfId="0" applyNumberFormat="1" applyFont="1" applyAlignment="1">
      <alignment vertical="center"/>
    </xf>
    <xf numFmtId="37" fontId="3" fillId="0" borderId="0" xfId="0" applyNumberFormat="1" applyFont="1" applyAlignment="1">
      <alignment vertical="center"/>
    </xf>
    <xf numFmtId="37" fontId="4" fillId="0" borderId="0" xfId="0" applyNumberFormat="1" applyFont="1" applyAlignment="1">
      <alignment vertical="center"/>
    </xf>
    <xf numFmtId="167" fontId="3" fillId="0" borderId="0" xfId="0" applyNumberFormat="1" applyFont="1" applyAlignment="1">
      <alignment horizontal="right"/>
    </xf>
    <xf numFmtId="165" fontId="11" fillId="0" borderId="0" xfId="0" applyNumberFormat="1" applyFont="1" applyAlignment="1">
      <alignment vertical="center"/>
    </xf>
    <xf numFmtId="167" fontId="12" fillId="0" borderId="0" xfId="0" applyNumberFormat="1" applyFont="1" applyAlignment="1">
      <alignment horizontal="right"/>
    </xf>
    <xf numFmtId="0" fontId="13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17" fillId="0" borderId="0" xfId="0" applyFont="1" applyAlignment="1">
      <alignment horizontal="left"/>
    </xf>
    <xf numFmtId="0" fontId="12" fillId="0" borderId="0" xfId="0" applyFont="1"/>
    <xf numFmtId="170" fontId="12" fillId="0" borderId="0" xfId="0" applyNumberFormat="1" applyFont="1"/>
    <xf numFmtId="171" fontId="15" fillId="0" borderId="0" xfId="0" applyNumberFormat="1" applyFont="1"/>
    <xf numFmtId="171" fontId="14" fillId="0" borderId="0" xfId="0" applyNumberFormat="1" applyFont="1"/>
    <xf numFmtId="0" fontId="14" fillId="0" borderId="0" xfId="0" applyFont="1"/>
    <xf numFmtId="0" fontId="19" fillId="0" borderId="0" xfId="0" applyFont="1" applyAlignment="1">
      <alignment horizontal="center"/>
    </xf>
    <xf numFmtId="0" fontId="20" fillId="0" borderId="0" xfId="0" applyFont="1"/>
    <xf numFmtId="171" fontId="14" fillId="0" borderId="4" xfId="0" applyNumberFormat="1" applyFont="1" applyBorder="1"/>
    <xf numFmtId="38" fontId="15" fillId="0" borderId="0" xfId="0" applyNumberFormat="1" applyFont="1"/>
    <xf numFmtId="0" fontId="11" fillId="0" borderId="0" xfId="0" applyFont="1" applyAlignment="1">
      <alignment horizontal="center"/>
    </xf>
    <xf numFmtId="0" fontId="15" fillId="0" borderId="4" xfId="0" applyFont="1" applyBorder="1"/>
    <xf numFmtId="172" fontId="14" fillId="0" borderId="0" xfId="0" applyNumberFormat="1" applyFont="1"/>
    <xf numFmtId="169" fontId="14" fillId="0" borderId="0" xfId="0" applyNumberFormat="1" applyFont="1"/>
    <xf numFmtId="169" fontId="14" fillId="0" borderId="4" xfId="0" applyNumberFormat="1" applyFont="1" applyBorder="1"/>
    <xf numFmtId="165" fontId="11" fillId="0" borderId="4" xfId="0" applyNumberFormat="1" applyFont="1" applyBorder="1" applyAlignment="1">
      <alignment vertical="center"/>
    </xf>
    <xf numFmtId="37" fontId="3" fillId="0" borderId="4" xfId="0" applyNumberFormat="1" applyFont="1" applyBorder="1" applyAlignment="1">
      <alignment vertical="center"/>
    </xf>
    <xf numFmtId="167" fontId="12" fillId="0" borderId="4" xfId="0" applyNumberFormat="1" applyFont="1" applyBorder="1" applyAlignment="1">
      <alignment horizontal="right"/>
    </xf>
    <xf numFmtId="175" fontId="14" fillId="0" borderId="0" xfId="0" applyNumberFormat="1" applyFont="1"/>
    <xf numFmtId="0" fontId="14" fillId="0" borderId="4" xfId="0" applyFont="1" applyBorder="1" applyAlignment="1">
      <alignment horizontal="left"/>
    </xf>
    <xf numFmtId="0" fontId="19" fillId="0" borderId="4" xfId="0" applyFont="1" applyBorder="1" applyAlignment="1">
      <alignment horizontal="center"/>
    </xf>
    <xf numFmtId="40" fontId="15" fillId="0" borderId="0" xfId="0" applyNumberFormat="1" applyFont="1"/>
    <xf numFmtId="0" fontId="14" fillId="0" borderId="4" xfId="0" applyFont="1" applyBorder="1"/>
    <xf numFmtId="168" fontId="12" fillId="0" borderId="0" xfId="0" applyNumberFormat="1" applyFont="1" applyAlignment="1">
      <alignment horizontal="right"/>
    </xf>
    <xf numFmtId="169" fontId="15" fillId="0" borderId="0" xfId="0" applyNumberFormat="1" applyFont="1"/>
    <xf numFmtId="0" fontId="21" fillId="0" borderId="0" xfId="0" applyFont="1" applyAlignment="1">
      <alignment horizontal="left"/>
    </xf>
    <xf numFmtId="0" fontId="12" fillId="0" borderId="4" xfId="0" applyFont="1" applyBorder="1"/>
    <xf numFmtId="170" fontId="12" fillId="0" borderId="4" xfId="0" applyNumberFormat="1" applyFont="1" applyBorder="1"/>
    <xf numFmtId="170" fontId="15" fillId="0" borderId="0" xfId="0" applyNumberFormat="1" applyFont="1"/>
    <xf numFmtId="168" fontId="12" fillId="0" borderId="4" xfId="0" applyNumberFormat="1" applyFont="1" applyBorder="1" applyAlignment="1">
      <alignment horizontal="right"/>
    </xf>
    <xf numFmtId="0" fontId="15" fillId="0" borderId="0" xfId="0" applyFont="1" applyAlignment="1">
      <alignment horizontal="left"/>
    </xf>
    <xf numFmtId="0" fontId="15" fillId="0" borderId="9" xfId="0" applyFont="1" applyBorder="1" applyAlignment="1">
      <alignment horizontal="left"/>
    </xf>
    <xf numFmtId="0" fontId="15" fillId="0" borderId="14" xfId="0" applyFont="1" applyBorder="1" applyAlignment="1">
      <alignment horizontal="left"/>
    </xf>
    <xf numFmtId="165" fontId="23" fillId="0" borderId="4" xfId="0" applyNumberFormat="1" applyFont="1" applyBorder="1" applyAlignment="1">
      <alignment vertical="center"/>
    </xf>
    <xf numFmtId="37" fontId="24" fillId="0" borderId="4" xfId="0" applyNumberFormat="1" applyFont="1" applyBorder="1" applyAlignment="1">
      <alignment vertical="center"/>
    </xf>
    <xf numFmtId="167" fontId="17" fillId="0" borderId="4" xfId="0" applyNumberFormat="1" applyFont="1" applyBorder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 applyAlignment="1">
      <alignment horizontal="centerContinuous"/>
    </xf>
    <xf numFmtId="168" fontId="12" fillId="0" borderId="0" xfId="0" applyNumberFormat="1" applyFont="1" applyAlignment="1">
      <alignment horizontal="centerContinuous"/>
    </xf>
    <xf numFmtId="0" fontId="12" fillId="0" borderId="0" xfId="0" applyFont="1" applyAlignment="1">
      <alignment horizontal="right"/>
    </xf>
    <xf numFmtId="167" fontId="12" fillId="0" borderId="0" xfId="0" applyNumberFormat="1" applyFont="1" applyAlignment="1">
      <alignment horizontal="left"/>
    </xf>
    <xf numFmtId="178" fontId="14" fillId="0" borderId="0" xfId="0" applyNumberFormat="1" applyFont="1" applyAlignment="1">
      <alignment horizontal="right"/>
    </xf>
    <xf numFmtId="0" fontId="25" fillId="0" borderId="0" xfId="0" applyFont="1" applyAlignment="1">
      <alignment horizontal="left"/>
    </xf>
    <xf numFmtId="170" fontId="25" fillId="0" borderId="0" xfId="0" applyNumberFormat="1" applyFont="1"/>
    <xf numFmtId="0" fontId="14" fillId="0" borderId="14" xfId="0" applyFont="1" applyBorder="1" applyAlignment="1">
      <alignment horizontal="left"/>
    </xf>
    <xf numFmtId="177" fontId="14" fillId="0" borderId="0" xfId="0" applyNumberFormat="1" applyFont="1" applyAlignment="1">
      <alignment horizontal="left"/>
    </xf>
    <xf numFmtId="172" fontId="14" fillId="0" borderId="0" xfId="0" applyNumberFormat="1" applyFont="1" applyAlignment="1">
      <alignment horizontal="right"/>
    </xf>
    <xf numFmtId="172" fontId="14" fillId="0" borderId="4" xfId="0" applyNumberFormat="1" applyFont="1" applyBorder="1" applyAlignment="1">
      <alignment horizontal="right"/>
    </xf>
    <xf numFmtId="168" fontId="12" fillId="0" borderId="9" xfId="0" applyNumberFormat="1" applyFont="1" applyBorder="1" applyAlignment="1">
      <alignment horizontal="left"/>
    </xf>
    <xf numFmtId="177" fontId="14" fillId="0" borderId="10" xfId="0" applyNumberFormat="1" applyFont="1" applyBorder="1" applyAlignment="1">
      <alignment horizontal="left"/>
    </xf>
    <xf numFmtId="168" fontId="15" fillId="0" borderId="11" xfId="0" applyNumberFormat="1" applyFont="1" applyBorder="1" applyAlignment="1">
      <alignment horizontal="left"/>
    </xf>
    <xf numFmtId="168" fontId="12" fillId="0" borderId="12" xfId="0" applyNumberFormat="1" applyFont="1" applyBorder="1" applyAlignment="1">
      <alignment horizontal="left"/>
    </xf>
    <xf numFmtId="168" fontId="15" fillId="0" borderId="13" xfId="0" applyNumberFormat="1" applyFont="1" applyBorder="1" applyAlignment="1">
      <alignment horizontal="left"/>
    </xf>
    <xf numFmtId="168" fontId="12" fillId="0" borderId="14" xfId="0" applyNumberFormat="1" applyFont="1" applyBorder="1" applyAlignment="1">
      <alignment horizontal="left"/>
    </xf>
    <xf numFmtId="177" fontId="14" fillId="0" borderId="4" xfId="0" applyNumberFormat="1" applyFont="1" applyBorder="1" applyAlignment="1">
      <alignment horizontal="left"/>
    </xf>
    <xf numFmtId="168" fontId="15" fillId="0" borderId="15" xfId="0" applyNumberFormat="1" applyFont="1" applyBorder="1" applyAlignment="1">
      <alignment horizontal="left"/>
    </xf>
    <xf numFmtId="175" fontId="15" fillId="0" borderId="0" xfId="0" applyNumberFormat="1" applyFont="1"/>
    <xf numFmtId="172" fontId="15" fillId="0" borderId="0" xfId="0" applyNumberFormat="1" applyFont="1"/>
    <xf numFmtId="172" fontId="14" fillId="0" borderId="0" xfId="0" applyNumberFormat="1" applyFont="1" applyAlignment="1">
      <alignment vertical="center"/>
    </xf>
    <xf numFmtId="175" fontId="14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7" fillId="0" borderId="4" xfId="0" applyFont="1" applyBorder="1" applyAlignment="1">
      <alignment horizontal="left"/>
    </xf>
    <xf numFmtId="169" fontId="12" fillId="0" borderId="22" xfId="0" applyNumberFormat="1" applyFont="1" applyBorder="1" applyAlignment="1">
      <alignment horizontal="right"/>
    </xf>
    <xf numFmtId="169" fontId="14" fillId="0" borderId="0" xfId="0" applyNumberFormat="1" applyFont="1" applyAlignment="1">
      <alignment vertical="center"/>
    </xf>
    <xf numFmtId="0" fontId="23" fillId="0" borderId="0" xfId="0" applyFont="1"/>
    <xf numFmtId="0" fontId="11" fillId="0" borderId="0" xfId="0" applyFont="1" applyAlignment="1">
      <alignment horizontal="right" vertical="center"/>
    </xf>
    <xf numFmtId="37" fontId="26" fillId="0" borderId="0" xfId="0" applyNumberFormat="1" applyFont="1" applyAlignment="1">
      <alignment vertical="center"/>
    </xf>
    <xf numFmtId="167" fontId="27" fillId="0" borderId="0" xfId="0" applyNumberFormat="1" applyFont="1" applyAlignment="1">
      <alignment horizontal="right"/>
    </xf>
    <xf numFmtId="171" fontId="22" fillId="0" borderId="0" xfId="0" applyNumberFormat="1" applyFont="1"/>
    <xf numFmtId="172" fontId="14" fillId="0" borderId="24" xfId="0" applyNumberFormat="1" applyFont="1" applyBorder="1"/>
    <xf numFmtId="169" fontId="14" fillId="0" borderId="24" xfId="0" applyNumberFormat="1" applyFont="1" applyBorder="1"/>
    <xf numFmtId="171" fontId="14" fillId="0" borderId="24" xfId="0" applyNumberFormat="1" applyFont="1" applyBorder="1"/>
    <xf numFmtId="175" fontId="14" fillId="0" borderId="24" xfId="0" applyNumberFormat="1" applyFont="1" applyBorder="1"/>
    <xf numFmtId="168" fontId="12" fillId="0" borderId="3" xfId="0" applyNumberFormat="1" applyFont="1" applyBorder="1" applyAlignment="1">
      <alignment horizontal="right"/>
    </xf>
    <xf numFmtId="169" fontId="15" fillId="0" borderId="0" xfId="0" applyNumberFormat="1" applyFont="1" applyAlignment="1">
      <alignment horizontal="right"/>
    </xf>
    <xf numFmtId="169" fontId="15" fillId="0" borderId="24" xfId="0" applyNumberFormat="1" applyFont="1" applyBorder="1"/>
    <xf numFmtId="175" fontId="15" fillId="0" borderId="24" xfId="0" applyNumberFormat="1" applyFont="1" applyBorder="1"/>
    <xf numFmtId="175" fontId="15" fillId="0" borderId="20" xfId="0" applyNumberFormat="1" applyFont="1" applyBorder="1"/>
    <xf numFmtId="175" fontId="15" fillId="0" borderId="21" xfId="0" applyNumberFormat="1" applyFont="1" applyBorder="1"/>
    <xf numFmtId="0" fontId="20" fillId="0" borderId="24" xfId="0" applyFont="1" applyBorder="1"/>
    <xf numFmtId="175" fontId="14" fillId="0" borderId="21" xfId="0" applyNumberFormat="1" applyFont="1" applyBorder="1"/>
    <xf numFmtId="171" fontId="17" fillId="0" borderId="0" xfId="0" applyNumberFormat="1" applyFont="1"/>
    <xf numFmtId="167" fontId="3" fillId="3" borderId="0" xfId="0" applyNumberFormat="1" applyFont="1" applyFill="1" applyAlignment="1">
      <alignment horizontal="right"/>
    </xf>
    <xf numFmtId="167" fontId="12" fillId="0" borderId="2" xfId="0" applyNumberFormat="1" applyFont="1" applyBorder="1" applyAlignment="1">
      <alignment horizontal="right"/>
    </xf>
    <xf numFmtId="0" fontId="14" fillId="0" borderId="0" xfId="0" applyFont="1" applyAlignment="1">
      <alignment horizontal="left" indent="1"/>
    </xf>
    <xf numFmtId="0" fontId="8" fillId="0" borderId="0" xfId="0" applyFont="1"/>
    <xf numFmtId="0" fontId="32" fillId="0" borderId="0" xfId="0" applyFont="1"/>
    <xf numFmtId="0" fontId="30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167" fontId="33" fillId="0" borderId="0" xfId="0" applyNumberFormat="1" applyFont="1" applyAlignment="1">
      <alignment horizontal="right" vertical="center"/>
    </xf>
    <xf numFmtId="174" fontId="16" fillId="0" borderId="0" xfId="0" applyNumberFormat="1" applyFont="1" applyAlignment="1">
      <alignment vertical="center"/>
    </xf>
    <xf numFmtId="169" fontId="14" fillId="0" borderId="24" xfId="0" quotePrefix="1" applyNumberFormat="1" applyFont="1" applyBorder="1" applyAlignment="1">
      <alignment horizontal="right"/>
    </xf>
    <xf numFmtId="175" fontId="14" fillId="0" borderId="4" xfId="0" applyNumberFormat="1" applyFont="1" applyBorder="1"/>
    <xf numFmtId="175" fontId="14" fillId="0" borderId="20" xfId="0" applyNumberFormat="1" applyFont="1" applyBorder="1"/>
    <xf numFmtId="169" fontId="14" fillId="0" borderId="19" xfId="0" applyNumberFormat="1" applyFont="1" applyBorder="1"/>
    <xf numFmtId="169" fontId="12" fillId="0" borderId="0" xfId="0" applyNumberFormat="1" applyFont="1" applyAlignment="1">
      <alignment horizontal="right"/>
    </xf>
    <xf numFmtId="169" fontId="15" fillId="0" borderId="24" xfId="0" applyNumberFormat="1" applyFont="1" applyBorder="1" applyAlignment="1">
      <alignment horizontal="right"/>
    </xf>
    <xf numFmtId="169" fontId="15" fillId="0" borderId="1" xfId="0" applyNumberFormat="1" applyFont="1" applyBorder="1" applyAlignment="1">
      <alignment horizontal="right"/>
    </xf>
    <xf numFmtId="177" fontId="14" fillId="0" borderId="0" xfId="0" applyNumberFormat="1" applyFont="1"/>
    <xf numFmtId="9" fontId="12" fillId="0" borderId="0" xfId="1" applyFont="1" applyBorder="1" applyAlignment="1">
      <alignment horizontal="right"/>
    </xf>
    <xf numFmtId="171" fontId="34" fillId="0" borderId="0" xfId="0" applyNumberFormat="1" applyFont="1" applyAlignment="1">
      <alignment horizontal="centerContinuous"/>
    </xf>
    <xf numFmtId="174" fontId="14" fillId="0" borderId="0" xfId="1" applyNumberFormat="1" applyFont="1" applyFill="1" applyBorder="1"/>
    <xf numFmtId="174" fontId="14" fillId="0" borderId="24" xfId="1" applyNumberFormat="1" applyFont="1" applyFill="1" applyBorder="1" applyAlignment="1"/>
    <xf numFmtId="174" fontId="14" fillId="0" borderId="4" xfId="1" applyNumberFormat="1" applyFont="1" applyFill="1" applyBorder="1"/>
    <xf numFmtId="0" fontId="17" fillId="0" borderId="0" xfId="0" applyFont="1" applyAlignment="1">
      <alignment horizontal="center"/>
    </xf>
    <xf numFmtId="174" fontId="14" fillId="0" borderId="0" xfId="1" applyNumberFormat="1" applyFont="1" applyBorder="1" applyAlignment="1">
      <alignment vertical="center"/>
    </xf>
    <xf numFmtId="186" fontId="15" fillId="0" borderId="0" xfId="0" quotePrefix="1" applyNumberFormat="1" applyFont="1" applyAlignment="1">
      <alignment horizontal="right"/>
    </xf>
    <xf numFmtId="187" fontId="15" fillId="0" borderId="0" xfId="0" quotePrefix="1" applyNumberFormat="1" applyFont="1" applyAlignment="1">
      <alignment horizontal="right"/>
    </xf>
    <xf numFmtId="174" fontId="15" fillId="0" borderId="4" xfId="1" applyNumberFormat="1" applyFont="1" applyFill="1" applyBorder="1"/>
    <xf numFmtId="172" fontId="15" fillId="0" borderId="0" xfId="1" applyNumberFormat="1" applyFont="1" applyFill="1" applyBorder="1" applyAlignment="1">
      <alignment horizontal="right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right" vertical="center"/>
    </xf>
    <xf numFmtId="174" fontId="14" fillId="0" borderId="19" xfId="1" quotePrefix="1" applyNumberFormat="1" applyFont="1" applyFill="1" applyBorder="1" applyAlignment="1">
      <alignment horizontal="right"/>
    </xf>
    <xf numFmtId="169" fontId="14" fillId="0" borderId="10" xfId="0" applyNumberFormat="1" applyFont="1" applyBorder="1"/>
    <xf numFmtId="169" fontId="14" fillId="0" borderId="20" xfId="0" applyNumberFormat="1" applyFont="1" applyBorder="1"/>
    <xf numFmtId="172" fontId="14" fillId="0" borderId="4" xfId="0" applyNumberFormat="1" applyFont="1" applyBorder="1"/>
    <xf numFmtId="37" fontId="24" fillId="0" borderId="10" xfId="0" applyNumberFormat="1" applyFont="1" applyBorder="1" applyAlignment="1">
      <alignment vertical="center"/>
    </xf>
    <xf numFmtId="0" fontId="14" fillId="0" borderId="9" xfId="0" applyFont="1" applyBorder="1" applyAlignment="1">
      <alignment horizontal="left"/>
    </xf>
    <xf numFmtId="0" fontId="8" fillId="0" borderId="0" xfId="4" applyFont="1"/>
    <xf numFmtId="174" fontId="14" fillId="0" borderId="0" xfId="1" applyNumberFormat="1" applyFont="1" applyFill="1" applyBorder="1" applyAlignment="1">
      <alignment vertical="center"/>
    </xf>
    <xf numFmtId="0" fontId="8" fillId="0" borderId="0" xfId="0" applyFont="1" applyAlignment="1">
      <alignment horizontal="centerContinuous"/>
    </xf>
    <xf numFmtId="166" fontId="8" fillId="0" borderId="0" xfId="5" applyNumberFormat="1" applyFont="1" applyFill="1" applyProtection="1">
      <protection locked="0"/>
    </xf>
    <xf numFmtId="172" fontId="14" fillId="0" borderId="0" xfId="1" applyNumberFormat="1" applyFont="1" applyFill="1" applyBorder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Continuous" vertical="center"/>
    </xf>
    <xf numFmtId="0" fontId="30" fillId="0" borderId="0" xfId="0" applyFont="1" applyAlignment="1">
      <alignment vertical="center"/>
    </xf>
    <xf numFmtId="172" fontId="22" fillId="0" borderId="0" xfId="1" applyNumberFormat="1" applyFont="1" applyFill="1" applyBorder="1" applyAlignment="1">
      <alignment horizontal="right" vertical="center"/>
    </xf>
    <xf numFmtId="188" fontId="19" fillId="0" borderId="0" xfId="0" applyNumberFormat="1" applyFont="1" applyAlignment="1">
      <alignment horizontal="left" indent="1"/>
    </xf>
    <xf numFmtId="0" fontId="13" fillId="2" borderId="0" xfId="0" applyFont="1" applyFill="1"/>
    <xf numFmtId="0" fontId="8" fillId="0" borderId="4" xfId="0" applyFont="1" applyBorder="1"/>
    <xf numFmtId="172" fontId="14" fillId="0" borderId="0" xfId="1" applyNumberFormat="1" applyFont="1" applyFill="1" applyBorder="1" applyAlignment="1">
      <alignment horizontal="right"/>
    </xf>
    <xf numFmtId="167" fontId="12" fillId="0" borderId="30" xfId="0" applyNumberFormat="1" applyFont="1" applyBorder="1" applyAlignment="1">
      <alignment horizontal="right"/>
    </xf>
    <xf numFmtId="174" fontId="14" fillId="0" borderId="11" xfId="1" applyNumberFormat="1" applyFont="1" applyFill="1" applyBorder="1" applyAlignment="1"/>
    <xf numFmtId="167" fontId="15" fillId="0" borderId="0" xfId="0" applyNumberFormat="1" applyFont="1" applyAlignment="1">
      <alignment horizontal="right"/>
    </xf>
    <xf numFmtId="49" fontId="12" fillId="0" borderId="0" xfId="0" applyNumberFormat="1" applyFont="1" applyAlignment="1">
      <alignment horizontal="left"/>
    </xf>
    <xf numFmtId="166" fontId="30" fillId="0" borderId="0" xfId="5" applyNumberFormat="1" applyFont="1" applyAlignment="1" applyProtection="1">
      <alignment horizontal="center"/>
      <protection locked="0"/>
    </xf>
    <xf numFmtId="166" fontId="30" fillId="0" borderId="0" xfId="5" applyNumberFormat="1" applyFont="1" applyAlignment="1">
      <alignment horizontal="right"/>
    </xf>
    <xf numFmtId="0" fontId="39" fillId="0" borderId="0" xfId="0" quotePrefix="1" applyFont="1" applyAlignment="1">
      <alignment horizontal="center" vertical="center"/>
    </xf>
    <xf numFmtId="0" fontId="30" fillId="0" borderId="22" xfId="0" applyFont="1" applyBorder="1" applyAlignment="1">
      <alignment vertical="center"/>
    </xf>
    <xf numFmtId="0" fontId="23" fillId="0" borderId="0" xfId="0" quotePrefix="1" applyFont="1" applyAlignment="1">
      <alignment horizontal="center" vertical="center"/>
    </xf>
    <xf numFmtId="169" fontId="14" fillId="0" borderId="9" xfId="0" applyNumberFormat="1" applyFont="1" applyBorder="1"/>
    <xf numFmtId="175" fontId="15" fillId="0" borderId="4" xfId="0" applyNumberFormat="1" applyFont="1" applyBorder="1"/>
    <xf numFmtId="169" fontId="15" fillId="0" borderId="4" xfId="0" applyNumberFormat="1" applyFont="1" applyBorder="1"/>
    <xf numFmtId="169" fontId="12" fillId="0" borderId="24" xfId="0" applyNumberFormat="1" applyFont="1" applyBorder="1" applyAlignment="1">
      <alignment horizontal="right"/>
    </xf>
    <xf numFmtId="169" fontId="14" fillId="0" borderId="0" xfId="0" applyNumberFormat="1" applyFont="1" applyAlignment="1">
      <alignment horizontal="right"/>
    </xf>
    <xf numFmtId="169" fontId="14" fillId="0" borderId="24" xfId="0" applyNumberFormat="1" applyFont="1" applyBorder="1" applyAlignment="1">
      <alignment horizontal="right"/>
    </xf>
    <xf numFmtId="178" fontId="14" fillId="0" borderId="7" xfId="0" applyNumberFormat="1" applyFont="1" applyBorder="1" applyAlignment="1">
      <alignment horizontal="right"/>
    </xf>
    <xf numFmtId="178" fontId="14" fillId="0" borderId="8" xfId="0" applyNumberFormat="1" applyFont="1" applyBorder="1" applyAlignment="1">
      <alignment horizontal="right"/>
    </xf>
    <xf numFmtId="178" fontId="14" fillId="0" borderId="14" xfId="0" applyNumberFormat="1" applyFont="1" applyBorder="1" applyAlignment="1">
      <alignment horizontal="right"/>
    </xf>
    <xf numFmtId="178" fontId="14" fillId="0" borderId="4" xfId="0" applyNumberFormat="1" applyFont="1" applyBorder="1" applyAlignment="1">
      <alignment horizontal="right"/>
    </xf>
    <xf numFmtId="178" fontId="14" fillId="0" borderId="15" xfId="0" applyNumberFormat="1" applyFont="1" applyBorder="1" applyAlignment="1">
      <alignment horizontal="right"/>
    </xf>
    <xf numFmtId="179" fontId="12" fillId="0" borderId="0" xfId="0" applyNumberFormat="1" applyFont="1" applyAlignment="1">
      <alignment horizontal="right"/>
    </xf>
    <xf numFmtId="171" fontId="14" fillId="0" borderId="10" xfId="0" applyNumberFormat="1" applyFont="1" applyBorder="1" applyAlignment="1">
      <alignment horizontal="left"/>
    </xf>
    <xf numFmtId="171" fontId="14" fillId="0" borderId="11" xfId="0" applyNumberFormat="1" applyFont="1" applyBorder="1" applyAlignment="1">
      <alignment horizontal="left"/>
    </xf>
    <xf numFmtId="171" fontId="14" fillId="0" borderId="0" xfId="0" applyNumberFormat="1" applyFont="1" applyAlignment="1">
      <alignment horizontal="left"/>
    </xf>
    <xf numFmtId="171" fontId="14" fillId="0" borderId="13" xfId="0" applyNumberFormat="1" applyFont="1" applyBorder="1" applyAlignment="1">
      <alignment horizontal="left"/>
    </xf>
    <xf numFmtId="171" fontId="14" fillId="0" borderId="4" xfId="0" applyNumberFormat="1" applyFont="1" applyBorder="1" applyAlignment="1">
      <alignment horizontal="left"/>
    </xf>
    <xf numFmtId="171" fontId="14" fillId="0" borderId="15" xfId="0" applyNumberFormat="1" applyFont="1" applyBorder="1" applyAlignment="1">
      <alignment horizontal="left"/>
    </xf>
    <xf numFmtId="49" fontId="14" fillId="0" borderId="14" xfId="0" applyNumberFormat="1" applyFont="1" applyBorder="1" applyAlignment="1">
      <alignment horizontal="left"/>
    </xf>
    <xf numFmtId="169" fontId="14" fillId="0" borderId="11" xfId="0" applyNumberFormat="1" applyFont="1" applyBorder="1"/>
    <xf numFmtId="169" fontId="14" fillId="0" borderId="13" xfId="0" applyNumberFormat="1" applyFont="1" applyBorder="1"/>
    <xf numFmtId="169" fontId="14" fillId="0" borderId="15" xfId="0" applyNumberFormat="1" applyFont="1" applyBorder="1"/>
    <xf numFmtId="169" fontId="15" fillId="0" borderId="15" xfId="0" applyNumberFormat="1" applyFont="1" applyBorder="1"/>
    <xf numFmtId="169" fontId="12" fillId="0" borderId="4" xfId="0" applyNumberFormat="1" applyFont="1" applyBorder="1" applyAlignment="1">
      <alignment horizontal="right"/>
    </xf>
    <xf numFmtId="169" fontId="17" fillId="0" borderId="4" xfId="0" applyNumberFormat="1" applyFont="1" applyBorder="1" applyAlignment="1">
      <alignment horizontal="right"/>
    </xf>
    <xf numFmtId="169" fontId="14" fillId="0" borderId="0" xfId="1" applyNumberFormat="1" applyFont="1"/>
    <xf numFmtId="172" fontId="15" fillId="0" borderId="15" xfId="1" applyNumberFormat="1" applyFont="1" applyFill="1" applyBorder="1"/>
    <xf numFmtId="169" fontId="14" fillId="0" borderId="4" xfId="0" applyNumberFormat="1" applyFont="1" applyBorder="1" applyAlignment="1">
      <alignment horizontal="right"/>
    </xf>
    <xf numFmtId="169" fontId="15" fillId="0" borderId="15" xfId="0" applyNumberFormat="1" applyFont="1" applyBorder="1" applyAlignment="1">
      <alignment horizontal="right"/>
    </xf>
    <xf numFmtId="169" fontId="14" fillId="0" borderId="12" xfId="0" applyNumberFormat="1" applyFont="1" applyBorder="1"/>
    <xf numFmtId="169" fontId="14" fillId="0" borderId="14" xfId="0" applyNumberFormat="1" applyFont="1" applyBorder="1"/>
    <xf numFmtId="172" fontId="14" fillId="0" borderId="10" xfId="0" applyNumberFormat="1" applyFont="1" applyBorder="1"/>
    <xf numFmtId="169" fontId="15" fillId="0" borderId="7" xfId="0" applyNumberFormat="1" applyFont="1" applyBorder="1"/>
    <xf numFmtId="169" fontId="15" fillId="0" borderId="8" xfId="0" applyNumberFormat="1" applyFont="1" applyBorder="1"/>
    <xf numFmtId="169" fontId="17" fillId="0" borderId="0" xfId="0" applyNumberFormat="1" applyFont="1" applyAlignment="1">
      <alignment horizontal="right"/>
    </xf>
    <xf numFmtId="167" fontId="36" fillId="0" borderId="0" xfId="0" applyNumberFormat="1" applyFont="1" applyAlignment="1">
      <alignment horizontal="right"/>
    </xf>
    <xf numFmtId="0" fontId="41" fillId="0" borderId="22" xfId="0" quotePrefix="1" applyFont="1" applyBorder="1" applyAlignment="1">
      <alignment horizontal="center" vertical="center"/>
    </xf>
    <xf numFmtId="0" fontId="41" fillId="0" borderId="0" xfId="0" quotePrefix="1" applyFont="1" applyAlignment="1">
      <alignment horizontal="center" vertical="center"/>
    </xf>
    <xf numFmtId="0" fontId="42" fillId="0" borderId="0" xfId="0" quotePrefix="1" applyFont="1" applyAlignment="1">
      <alignment horizontal="center" vertical="center"/>
    </xf>
    <xf numFmtId="186" fontId="15" fillId="0" borderId="0" xfId="0" applyNumberFormat="1" applyFont="1" applyAlignment="1">
      <alignment horizontal="left"/>
    </xf>
    <xf numFmtId="0" fontId="29" fillId="0" borderId="0" xfId="0" applyFont="1"/>
    <xf numFmtId="0" fontId="28" fillId="0" borderId="22" xfId="0" applyFont="1" applyBorder="1" applyAlignment="1">
      <alignment horizontal="center"/>
    </xf>
    <xf numFmtId="0" fontId="28" fillId="0" borderId="35" xfId="0" applyFont="1" applyBorder="1" applyAlignment="1">
      <alignment horizontal="center"/>
    </xf>
    <xf numFmtId="180" fontId="14" fillId="0" borderId="36" xfId="0" applyNumberFormat="1" applyFont="1" applyBorder="1" applyAlignment="1">
      <alignment horizontal="center"/>
    </xf>
    <xf numFmtId="170" fontId="25" fillId="0" borderId="36" xfId="0" applyNumberFormat="1" applyFont="1" applyBorder="1"/>
    <xf numFmtId="169" fontId="43" fillId="0" borderId="0" xfId="0" applyNumberFormat="1" applyFont="1" applyAlignment="1">
      <alignment horizontal="left"/>
    </xf>
    <xf numFmtId="169" fontId="43" fillId="0" borderId="35" xfId="0" applyNumberFormat="1" applyFont="1" applyBorder="1" applyAlignment="1">
      <alignment horizontal="center"/>
    </xf>
    <xf numFmtId="169" fontId="43" fillId="0" borderId="35" xfId="0" applyNumberFormat="1" applyFont="1" applyBorder="1" applyAlignment="1">
      <alignment horizontal="centerContinuous"/>
    </xf>
    <xf numFmtId="167" fontId="43" fillId="0" borderId="22" xfId="0" applyNumberFormat="1" applyFont="1" applyBorder="1" applyAlignment="1">
      <alignment horizontal="centerContinuous"/>
    </xf>
    <xf numFmtId="0" fontId="8" fillId="0" borderId="22" xfId="0" applyFont="1" applyBorder="1"/>
    <xf numFmtId="0" fontId="44" fillId="0" borderId="0" xfId="0" applyFont="1"/>
    <xf numFmtId="175" fontId="15" fillId="0" borderId="11" xfId="1" applyNumberFormat="1" applyFont="1" applyFill="1" applyBorder="1" applyAlignment="1">
      <alignment horizontal="right"/>
    </xf>
    <xf numFmtId="175" fontId="15" fillId="0" borderId="11" xfId="1" applyNumberFormat="1" applyFont="1" applyBorder="1" applyAlignment="1">
      <alignment horizontal="right"/>
    </xf>
    <xf numFmtId="178" fontId="15" fillId="0" borderId="15" xfId="0" applyNumberFormat="1" applyFont="1" applyBorder="1" applyAlignment="1">
      <alignment horizontal="right"/>
    </xf>
    <xf numFmtId="0" fontId="29" fillId="0" borderId="23" xfId="0" applyFont="1" applyBorder="1"/>
    <xf numFmtId="0" fontId="8" fillId="0" borderId="23" xfId="0" applyFont="1" applyBorder="1"/>
    <xf numFmtId="37" fontId="37" fillId="0" borderId="0" xfId="0" applyNumberFormat="1" applyFont="1" applyAlignment="1">
      <alignment vertical="center"/>
    </xf>
    <xf numFmtId="37" fontId="10" fillId="0" borderId="30" xfId="0" applyNumberFormat="1" applyFont="1" applyBorder="1" applyAlignment="1">
      <alignment vertical="center"/>
    </xf>
    <xf numFmtId="37" fontId="37" fillId="0" borderId="30" xfId="0" applyNumberFormat="1" applyFont="1" applyBorder="1" applyAlignment="1">
      <alignment vertical="center"/>
    </xf>
    <xf numFmtId="37" fontId="10" fillId="0" borderId="0" xfId="0" applyNumberFormat="1" applyFont="1" applyAlignment="1">
      <alignment horizontal="centerContinuous" vertical="center"/>
    </xf>
    <xf numFmtId="37" fontId="10" fillId="0" borderId="10" xfId="0" applyNumberFormat="1" applyFont="1" applyBorder="1" applyAlignment="1">
      <alignment vertical="center"/>
    </xf>
    <xf numFmtId="37" fontId="37" fillId="0" borderId="4" xfId="0" applyNumberFormat="1" applyFont="1" applyBorder="1" applyAlignment="1">
      <alignment vertical="center"/>
    </xf>
    <xf numFmtId="37" fontId="10" fillId="0" borderId="4" xfId="0" applyNumberFormat="1" applyFont="1" applyBorder="1" applyAlignment="1">
      <alignment vertical="center"/>
    </xf>
    <xf numFmtId="0" fontId="8" fillId="0" borderId="0" xfId="0" applyFont="1" applyAlignment="1">
      <alignment horizontal="center"/>
    </xf>
    <xf numFmtId="0" fontId="8" fillId="0" borderId="22" xfId="0" applyFont="1" applyBorder="1" applyAlignment="1">
      <alignment vertical="center"/>
    </xf>
    <xf numFmtId="0" fontId="8" fillId="0" borderId="0" xfId="0" applyFont="1" applyAlignment="1">
      <alignment vertical="center"/>
    </xf>
    <xf numFmtId="166" fontId="30" fillId="0" borderId="0" xfId="5" applyNumberFormat="1" applyFont="1" applyAlignment="1" applyProtection="1">
      <alignment vertical="center"/>
      <protection locked="0"/>
    </xf>
    <xf numFmtId="0" fontId="41" fillId="0" borderId="0" xfId="0" applyFont="1" applyAlignment="1">
      <alignment horizontal="center" vertical="center"/>
    </xf>
    <xf numFmtId="166" fontId="30" fillId="0" borderId="0" xfId="5" applyNumberFormat="1" applyFont="1" applyBorder="1" applyAlignment="1" applyProtection="1">
      <alignment vertical="center"/>
      <protection locked="0"/>
    </xf>
    <xf numFmtId="0" fontId="14" fillId="0" borderId="23" xfId="0" applyFont="1" applyBorder="1" applyAlignment="1">
      <alignment horizontal="left" vertical="center"/>
    </xf>
    <xf numFmtId="166" fontId="22" fillId="0" borderId="0" xfId="5" applyNumberFormat="1" applyFont="1" applyFill="1" applyBorder="1" applyAlignment="1">
      <alignment horizontal="right" vertical="center"/>
    </xf>
    <xf numFmtId="0" fontId="44" fillId="0" borderId="0" xfId="0" applyFont="1" applyAlignment="1">
      <alignment vertical="center"/>
    </xf>
    <xf numFmtId="166" fontId="40" fillId="0" borderId="0" xfId="5" applyNumberFormat="1" applyFont="1" applyFill="1" applyBorder="1" applyAlignment="1" applyProtection="1">
      <alignment vertical="center"/>
      <protection locked="0"/>
    </xf>
    <xf numFmtId="169" fontId="43" fillId="0" borderId="37" xfId="0" applyNumberFormat="1" applyFont="1" applyBorder="1" applyAlignment="1">
      <alignment horizontal="center"/>
    </xf>
    <xf numFmtId="0" fontId="28" fillId="0" borderId="37" xfId="0" applyFont="1" applyBorder="1" applyAlignment="1">
      <alignment horizontal="center"/>
    </xf>
    <xf numFmtId="171" fontId="14" fillId="0" borderId="0" xfId="0" applyNumberFormat="1" applyFont="1" applyAlignment="1">
      <alignment horizontal="right"/>
    </xf>
    <xf numFmtId="0" fontId="17" fillId="0" borderId="0" xfId="0" applyFont="1" applyAlignment="1">
      <alignment horizontal="centerContinuous" vertical="center"/>
    </xf>
    <xf numFmtId="0" fontId="44" fillId="0" borderId="0" xfId="0" applyFont="1" applyAlignment="1">
      <alignment horizontal="centerContinuous"/>
    </xf>
    <xf numFmtId="0" fontId="14" fillId="0" borderId="0" xfId="0" applyFont="1" applyAlignment="1">
      <alignment horizontal="centerContinuous" vertical="center"/>
    </xf>
    <xf numFmtId="177" fontId="14" fillId="0" borderId="0" xfId="0" applyNumberFormat="1" applyFont="1" applyAlignment="1">
      <alignment horizontal="right"/>
    </xf>
    <xf numFmtId="165" fontId="23" fillId="0" borderId="0" xfId="0" applyNumberFormat="1" applyFont="1" applyAlignment="1">
      <alignment horizontal="left" vertical="center"/>
    </xf>
    <xf numFmtId="166" fontId="8" fillId="0" borderId="0" xfId="5" applyNumberFormat="1" applyFont="1" applyFill="1" applyBorder="1" applyProtection="1">
      <protection locked="0"/>
    </xf>
    <xf numFmtId="169" fontId="12" fillId="0" borderId="22" xfId="0" applyNumberFormat="1" applyFont="1" applyBorder="1" applyAlignment="1">
      <alignment horizontal="center"/>
    </xf>
    <xf numFmtId="175" fontId="14" fillId="0" borderId="0" xfId="0" applyNumberFormat="1" applyFont="1" applyAlignment="1">
      <alignment horizontal="center" vertical="center"/>
    </xf>
    <xf numFmtId="167" fontId="12" fillId="0" borderId="22" xfId="0" applyNumberFormat="1" applyFont="1" applyBorder="1" applyAlignment="1">
      <alignment horizontal="left"/>
    </xf>
    <xf numFmtId="167" fontId="12" fillId="0" borderId="23" xfId="0" applyNumberFormat="1" applyFont="1" applyBorder="1" applyAlignment="1">
      <alignment horizontal="left"/>
    </xf>
    <xf numFmtId="0" fontId="17" fillId="0" borderId="31" xfId="0" applyFont="1" applyBorder="1" applyAlignment="1">
      <alignment horizontal="left"/>
    </xf>
    <xf numFmtId="169" fontId="17" fillId="0" borderId="31" xfId="0" applyNumberFormat="1" applyFont="1" applyBorder="1" applyAlignment="1">
      <alignment horizontal="right"/>
    </xf>
    <xf numFmtId="0" fontId="29" fillId="0" borderId="0" xfId="0" applyFont="1" applyAlignment="1">
      <alignment horizontal="center"/>
    </xf>
    <xf numFmtId="191" fontId="17" fillId="0" borderId="31" xfId="0" applyNumberFormat="1" applyFont="1" applyBorder="1" applyAlignment="1">
      <alignment horizontal="right"/>
    </xf>
    <xf numFmtId="192" fontId="17" fillId="0" borderId="31" xfId="0" applyNumberFormat="1" applyFont="1" applyBorder="1" applyAlignment="1">
      <alignment horizontal="center"/>
    </xf>
    <xf numFmtId="169" fontId="14" fillId="0" borderId="0" xfId="6" applyNumberFormat="1" applyFont="1" applyBorder="1" applyAlignment="1">
      <alignment horizontal="right" vertical="center"/>
    </xf>
    <xf numFmtId="169" fontId="17" fillId="0" borderId="22" xfId="0" applyNumberFormat="1" applyFont="1" applyBorder="1" applyAlignment="1">
      <alignment horizontal="center"/>
    </xf>
    <xf numFmtId="169" fontId="17" fillId="0" borderId="0" xfId="0" applyNumberFormat="1" applyFont="1" applyAlignment="1">
      <alignment horizontal="center"/>
    </xf>
    <xf numFmtId="169" fontId="17" fillId="0" borderId="31" xfId="0" applyNumberFormat="1" applyFont="1" applyBorder="1" applyAlignment="1">
      <alignment horizontal="center"/>
    </xf>
    <xf numFmtId="181" fontId="14" fillId="0" borderId="0" xfId="0" applyNumberFormat="1" applyFont="1" applyAlignment="1">
      <alignment horizontal="center" vertical="center"/>
    </xf>
    <xf numFmtId="169" fontId="15" fillId="0" borderId="11" xfId="0" applyNumberFormat="1" applyFont="1" applyBorder="1"/>
    <xf numFmtId="174" fontId="14" fillId="0" borderId="15" xfId="1" applyNumberFormat="1" applyFont="1" applyFill="1" applyBorder="1" applyAlignment="1"/>
    <xf numFmtId="37" fontId="37" fillId="0" borderId="10" xfId="0" applyNumberFormat="1" applyFont="1" applyBorder="1" applyAlignment="1">
      <alignment vertical="center"/>
    </xf>
    <xf numFmtId="178" fontId="15" fillId="0" borderId="11" xfId="0" applyNumberFormat="1" applyFont="1" applyBorder="1" applyAlignment="1">
      <alignment horizontal="right"/>
    </xf>
    <xf numFmtId="169" fontId="17" fillId="0" borderId="0" xfId="0" applyNumberFormat="1" applyFont="1"/>
    <xf numFmtId="186" fontId="35" fillId="0" borderId="0" xfId="0" quotePrefix="1" applyNumberFormat="1" applyFont="1" applyAlignment="1">
      <alignment horizontal="right"/>
    </xf>
    <xf numFmtId="187" fontId="35" fillId="0" borderId="0" xfId="0" quotePrefix="1" applyNumberFormat="1" applyFont="1" applyAlignment="1">
      <alignment horizontal="right"/>
    </xf>
    <xf numFmtId="0" fontId="8" fillId="0" borderId="40" xfId="0" applyFont="1" applyBorder="1"/>
    <xf numFmtId="189" fontId="14" fillId="0" borderId="41" xfId="0" applyNumberFormat="1" applyFont="1" applyBorder="1" applyAlignment="1">
      <alignment horizontal="right"/>
    </xf>
    <xf numFmtId="171" fontId="22" fillId="0" borderId="30" xfId="0" applyNumberFormat="1" applyFont="1" applyBorder="1"/>
    <xf numFmtId="189" fontId="14" fillId="0" borderId="30" xfId="0" applyNumberFormat="1" applyFont="1" applyBorder="1" applyAlignment="1">
      <alignment horizontal="right"/>
    </xf>
    <xf numFmtId="189" fontId="14" fillId="0" borderId="33" xfId="0" applyNumberFormat="1" applyFont="1" applyBorder="1"/>
    <xf numFmtId="189" fontId="14" fillId="0" borderId="34" xfId="0" applyNumberFormat="1" applyFont="1" applyBorder="1"/>
    <xf numFmtId="189" fontId="14" fillId="0" borderId="32" xfId="0" applyNumberFormat="1" applyFont="1" applyBorder="1"/>
    <xf numFmtId="189" fontId="14" fillId="0" borderId="15" xfId="0" applyNumberFormat="1" applyFont="1" applyBorder="1" applyAlignment="1">
      <alignment horizontal="right"/>
    </xf>
    <xf numFmtId="49" fontId="17" fillId="0" borderId="0" xfId="0" applyNumberFormat="1" applyFont="1" applyAlignment="1">
      <alignment horizontal="left"/>
    </xf>
    <xf numFmtId="49" fontId="15" fillId="0" borderId="0" xfId="0" applyNumberFormat="1" applyFont="1" applyAlignment="1">
      <alignment horizontal="left"/>
    </xf>
    <xf numFmtId="169" fontId="14" fillId="0" borderId="6" xfId="0" applyNumberFormat="1" applyFont="1" applyBorder="1"/>
    <xf numFmtId="182" fontId="15" fillId="0" borderId="11" xfId="6" applyNumberFormat="1" applyFont="1" applyFill="1" applyBorder="1" applyAlignment="1">
      <alignment horizontal="right"/>
    </xf>
    <xf numFmtId="196" fontId="46" fillId="0" borderId="0" xfId="1" applyNumberFormat="1" applyFont="1" applyFill="1" applyBorder="1" applyAlignment="1">
      <alignment horizontal="right"/>
    </xf>
    <xf numFmtId="172" fontId="22" fillId="0" borderId="4" xfId="1" applyNumberFormat="1" applyFont="1" applyFill="1" applyBorder="1" applyAlignment="1">
      <alignment horizontal="right" vertical="center"/>
    </xf>
    <xf numFmtId="185" fontId="14" fillId="0" borderId="0" xfId="0" applyNumberFormat="1" applyFont="1"/>
    <xf numFmtId="168" fontId="17" fillId="0" borderId="3" xfId="0" applyNumberFormat="1" applyFont="1" applyBorder="1" applyAlignment="1">
      <alignment horizontal="right"/>
    </xf>
    <xf numFmtId="172" fontId="14" fillId="0" borderId="15" xfId="1" applyNumberFormat="1" applyFont="1" applyFill="1" applyBorder="1" applyAlignment="1">
      <alignment horizontal="right"/>
    </xf>
    <xf numFmtId="197" fontId="14" fillId="0" borderId="11" xfId="1" applyNumberFormat="1" applyFont="1" applyFill="1" applyBorder="1" applyAlignment="1">
      <alignment horizontal="right"/>
    </xf>
    <xf numFmtId="169" fontId="14" fillId="0" borderId="0" xfId="6" applyNumberFormat="1" applyFont="1" applyBorder="1" applyAlignment="1">
      <alignment vertical="center"/>
    </xf>
    <xf numFmtId="197" fontId="14" fillId="0" borderId="0" xfId="1" applyNumberFormat="1" applyFont="1" applyFill="1" applyBorder="1" applyAlignment="1">
      <alignment horizontal="right" vertical="center"/>
    </xf>
    <xf numFmtId="197" fontId="22" fillId="0" borderId="0" xfId="1" applyNumberFormat="1" applyFont="1" applyFill="1" applyBorder="1" applyAlignment="1">
      <alignment horizontal="right" vertical="center"/>
    </xf>
    <xf numFmtId="0" fontId="22" fillId="0" borderId="0" xfId="0" applyFont="1" applyAlignment="1">
      <alignment horizontal="left"/>
    </xf>
    <xf numFmtId="0" fontId="17" fillId="0" borderId="0" xfId="0" applyFont="1" applyAlignment="1">
      <alignment horizontal="left" indent="1"/>
    </xf>
    <xf numFmtId="0" fontId="15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49" fontId="15" fillId="0" borderId="0" xfId="0" applyNumberFormat="1" applyFont="1" applyAlignment="1">
      <alignment horizontal="left" indent="1"/>
    </xf>
    <xf numFmtId="0" fontId="18" fillId="0" borderId="0" xfId="0" applyFont="1" applyAlignment="1">
      <alignment horizontal="left" inden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indent="2"/>
    </xf>
    <xf numFmtId="0" fontId="22" fillId="0" borderId="0" xfId="0" applyFont="1" applyAlignment="1">
      <alignment horizontal="left" indent="1"/>
    </xf>
    <xf numFmtId="186" fontId="45" fillId="0" borderId="0" xfId="0" applyNumberFormat="1" applyFont="1" applyAlignment="1">
      <alignment horizontal="left" indent="1"/>
    </xf>
    <xf numFmtId="187" fontId="45" fillId="0" borderId="0" xfId="0" applyNumberFormat="1" applyFont="1" applyAlignment="1">
      <alignment horizontal="left" indent="1"/>
    </xf>
    <xf numFmtId="193" fontId="45" fillId="0" borderId="0" xfId="0" applyNumberFormat="1" applyFont="1" applyAlignment="1">
      <alignment horizontal="left" indent="1"/>
    </xf>
    <xf numFmtId="194" fontId="45" fillId="0" borderId="0" xfId="0" applyNumberFormat="1" applyFont="1" applyAlignment="1">
      <alignment horizontal="left" indent="1"/>
    </xf>
    <xf numFmtId="49" fontId="14" fillId="0" borderId="0" xfId="0" applyNumberFormat="1" applyFont="1" applyAlignment="1">
      <alignment horizontal="left" indent="1"/>
    </xf>
    <xf numFmtId="172" fontId="14" fillId="0" borderId="0" xfId="6" applyNumberFormat="1" applyFont="1" applyFill="1" applyBorder="1" applyAlignment="1">
      <alignment horizontal="right"/>
    </xf>
    <xf numFmtId="0" fontId="44" fillId="0" borderId="0" xfId="0" applyFont="1" applyAlignment="1">
      <alignment horizontal="center"/>
    </xf>
    <xf numFmtId="0" fontId="44" fillId="0" borderId="10" xfId="0" applyFont="1" applyBorder="1"/>
    <xf numFmtId="0" fontId="44" fillId="0" borderId="12" xfId="0" applyFont="1" applyBorder="1"/>
    <xf numFmtId="0" fontId="42" fillId="0" borderId="0" xfId="0" quotePrefix="1" applyFont="1" applyAlignment="1">
      <alignment horizontal="right"/>
    </xf>
    <xf numFmtId="0" fontId="42" fillId="0" borderId="0" xfId="0" applyFont="1" applyAlignment="1">
      <alignment horizontal="right"/>
    </xf>
    <xf numFmtId="167" fontId="17" fillId="0" borderId="0" xfId="0" applyNumberFormat="1" applyFont="1" applyAlignment="1">
      <alignment horizontal="right"/>
    </xf>
    <xf numFmtId="168" fontId="17" fillId="0" borderId="0" xfId="0" applyNumberFormat="1" applyFont="1" applyAlignment="1">
      <alignment horizontal="right"/>
    </xf>
    <xf numFmtId="186" fontId="45" fillId="0" borderId="0" xfId="0" quotePrefix="1" applyNumberFormat="1" applyFont="1" applyAlignment="1">
      <alignment horizontal="right"/>
    </xf>
    <xf numFmtId="0" fontId="44" fillId="0" borderId="4" xfId="0" applyFont="1" applyBorder="1"/>
    <xf numFmtId="0" fontId="14" fillId="0" borderId="9" xfId="0" applyFont="1" applyBorder="1" applyAlignment="1">
      <alignment horizontal="left" indent="1"/>
    </xf>
    <xf numFmtId="0" fontId="14" fillId="0" borderId="14" xfId="0" applyFont="1" applyBorder="1" applyAlignment="1">
      <alignment horizontal="left" indent="1"/>
    </xf>
    <xf numFmtId="0" fontId="14" fillId="0" borderId="12" xfId="0" applyFont="1" applyBorder="1" applyAlignment="1">
      <alignment horizontal="left" indent="1"/>
    </xf>
    <xf numFmtId="0" fontId="15" fillId="0" borderId="9" xfId="0" applyFont="1" applyBorder="1" applyAlignment="1">
      <alignment horizontal="left" indent="1"/>
    </xf>
    <xf numFmtId="0" fontId="15" fillId="0" borderId="14" xfId="0" applyFont="1" applyBorder="1" applyAlignment="1">
      <alignment horizontal="left" indent="1"/>
    </xf>
    <xf numFmtId="0" fontId="8" fillId="0" borderId="10" xfId="0" applyFont="1" applyBorder="1"/>
    <xf numFmtId="0" fontId="15" fillId="0" borderId="12" xfId="0" applyFont="1" applyBorder="1" applyAlignment="1">
      <alignment horizontal="left" indent="1"/>
    </xf>
    <xf numFmtId="0" fontId="19" fillId="0" borderId="0" xfId="0" quotePrefix="1" applyFont="1" applyAlignment="1">
      <alignment horizontal="right"/>
    </xf>
    <xf numFmtId="0" fontId="19" fillId="0" borderId="4" xfId="0" applyFont="1" applyBorder="1" applyAlignment="1">
      <alignment horizontal="right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Continuous" vertical="center"/>
    </xf>
    <xf numFmtId="0" fontId="47" fillId="0" borderId="0" xfId="0" applyFont="1"/>
    <xf numFmtId="0" fontId="1" fillId="0" borderId="9" xfId="0" applyFont="1" applyBorder="1" applyAlignment="1">
      <alignment vertical="center"/>
    </xf>
    <xf numFmtId="0" fontId="38" fillId="0" borderId="0" xfId="0" applyFont="1"/>
    <xf numFmtId="172" fontId="1" fillId="0" borderId="11" xfId="1" applyNumberFormat="1" applyFont="1" applyFill="1" applyBorder="1" applyAlignment="1">
      <alignment horizontal="right"/>
    </xf>
    <xf numFmtId="0" fontId="1" fillId="0" borderId="0" xfId="0" applyFont="1" applyAlignment="1">
      <alignment horizontal="left" vertical="center" indent="2"/>
    </xf>
    <xf numFmtId="0" fontId="1" fillId="0" borderId="4" xfId="0" applyFont="1" applyBorder="1" applyAlignment="1">
      <alignment vertical="center"/>
    </xf>
    <xf numFmtId="0" fontId="8" fillId="0" borderId="0" xfId="0" applyFont="1" applyAlignment="1">
      <alignment horizontal="right"/>
    </xf>
    <xf numFmtId="0" fontId="13" fillId="0" borderId="4" xfId="0" applyFont="1" applyBorder="1"/>
    <xf numFmtId="0" fontId="9" fillId="0" borderId="0" xfId="0" applyFont="1"/>
    <xf numFmtId="0" fontId="1" fillId="0" borderId="0" xfId="0" applyFont="1"/>
    <xf numFmtId="49" fontId="1" fillId="0" borderId="22" xfId="0" applyNumberFormat="1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1" fillId="0" borderId="22" xfId="0" applyFont="1" applyBorder="1"/>
    <xf numFmtId="49" fontId="1" fillId="0" borderId="0" xfId="0" applyNumberFormat="1" applyFont="1" applyAlignment="1">
      <alignment vertical="center"/>
    </xf>
    <xf numFmtId="166" fontId="1" fillId="0" borderId="0" xfId="5" applyNumberFormat="1" applyFont="1" applyBorder="1" applyAlignment="1" applyProtection="1">
      <alignment vertical="center"/>
      <protection locked="0"/>
    </xf>
    <xf numFmtId="0" fontId="13" fillId="0" borderId="22" xfId="0" applyFont="1" applyBorder="1"/>
    <xf numFmtId="37" fontId="48" fillId="0" borderId="0" xfId="0" applyNumberFormat="1" applyFont="1" applyAlignment="1">
      <alignment vertical="center"/>
    </xf>
    <xf numFmtId="0" fontId="49" fillId="0" borderId="0" xfId="0" applyFont="1"/>
    <xf numFmtId="0" fontId="44" fillId="0" borderId="22" xfId="0" applyFont="1" applyBorder="1"/>
    <xf numFmtId="0" fontId="8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169" fontId="29" fillId="0" borderId="2" xfId="0" applyNumberFormat="1" applyFont="1" applyBorder="1" applyAlignment="1">
      <alignment horizontal="right" vertical="center"/>
    </xf>
    <xf numFmtId="175" fontId="14" fillId="0" borderId="0" xfId="0" applyNumberFormat="1" applyFont="1" applyAlignment="1">
      <alignment horizontal="right"/>
    </xf>
    <xf numFmtId="185" fontId="14" fillId="0" borderId="14" xfId="0" applyNumberFormat="1" applyFont="1" applyBorder="1"/>
    <xf numFmtId="185" fontId="14" fillId="0" borderId="4" xfId="0" applyNumberFormat="1" applyFont="1" applyBorder="1"/>
    <xf numFmtId="185" fontId="14" fillId="0" borderId="15" xfId="0" applyNumberFormat="1" applyFont="1" applyBorder="1"/>
    <xf numFmtId="0" fontId="14" fillId="0" borderId="0" xfId="0" applyFont="1" applyAlignment="1">
      <alignment horizontal="center" vertical="center" textRotation="90"/>
    </xf>
    <xf numFmtId="172" fontId="14" fillId="0" borderId="0" xfId="6" applyNumberFormat="1" applyFont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72" fontId="14" fillId="0" borderId="10" xfId="0" applyNumberFormat="1" applyFont="1" applyBorder="1" applyAlignment="1">
      <alignment horizontal="right"/>
    </xf>
    <xf numFmtId="172" fontId="14" fillId="0" borderId="11" xfId="0" applyNumberFormat="1" applyFont="1" applyBorder="1" applyAlignment="1">
      <alignment horizontal="right"/>
    </xf>
    <xf numFmtId="172" fontId="14" fillId="0" borderId="13" xfId="0" applyNumberFormat="1" applyFont="1" applyBorder="1" applyAlignment="1">
      <alignment horizontal="right"/>
    </xf>
    <xf numFmtId="172" fontId="14" fillId="0" borderId="15" xfId="0" applyNumberFormat="1" applyFont="1" applyBorder="1" applyAlignment="1">
      <alignment horizontal="right"/>
    </xf>
    <xf numFmtId="169" fontId="14" fillId="0" borderId="10" xfId="0" applyNumberFormat="1" applyFont="1" applyBorder="1" applyAlignment="1">
      <alignment horizontal="right"/>
    </xf>
    <xf numFmtId="169" fontId="14" fillId="0" borderId="11" xfId="0" applyNumberFormat="1" applyFont="1" applyBorder="1" applyAlignment="1">
      <alignment horizontal="right"/>
    </xf>
    <xf numFmtId="169" fontId="14" fillId="0" borderId="13" xfId="0" applyNumberFormat="1" applyFont="1" applyBorder="1" applyAlignment="1">
      <alignment horizontal="right"/>
    </xf>
    <xf numFmtId="169" fontId="14" fillId="0" borderId="15" xfId="0" applyNumberFormat="1" applyFont="1" applyBorder="1" applyAlignment="1">
      <alignment horizontal="right"/>
    </xf>
    <xf numFmtId="0" fontId="14" fillId="0" borderId="12" xfId="0" applyFont="1" applyBorder="1" applyAlignment="1">
      <alignment horizontal="left"/>
    </xf>
    <xf numFmtId="169" fontId="14" fillId="0" borderId="0" xfId="6" applyNumberFormat="1" applyFont="1" applyFill="1" applyBorder="1" applyAlignment="1">
      <alignment horizontal="right" vertical="center"/>
    </xf>
    <xf numFmtId="199" fontId="14" fillId="0" borderId="0" xfId="0" applyNumberFormat="1" applyFont="1" applyAlignment="1">
      <alignment horizontal="right" vertical="center"/>
    </xf>
    <xf numFmtId="195" fontId="14" fillId="0" borderId="0" xfId="2" applyNumberFormat="1" applyFont="1" applyFill="1" applyBorder="1" applyAlignment="1" applyProtection="1">
      <alignment horizontal="right" vertical="center"/>
      <protection locked="0"/>
    </xf>
    <xf numFmtId="171" fontId="14" fillId="0" borderId="10" xfId="0" applyNumberFormat="1" applyFont="1" applyBorder="1" applyAlignment="1">
      <alignment horizontal="center"/>
    </xf>
    <xf numFmtId="177" fontId="14" fillId="0" borderId="11" xfId="0" applyNumberFormat="1" applyFont="1" applyBorder="1" applyAlignment="1">
      <alignment horizontal="center"/>
    </xf>
    <xf numFmtId="171" fontId="14" fillId="0" borderId="0" xfId="0" applyNumberFormat="1" applyFont="1" applyAlignment="1">
      <alignment horizontal="center"/>
    </xf>
    <xf numFmtId="177" fontId="14" fillId="0" borderId="13" xfId="0" applyNumberFormat="1" applyFont="1" applyBorder="1" applyAlignment="1">
      <alignment horizontal="center"/>
    </xf>
    <xf numFmtId="171" fontId="14" fillId="0" borderId="4" xfId="0" applyNumberFormat="1" applyFont="1" applyBorder="1" applyAlignment="1">
      <alignment horizontal="center"/>
    </xf>
    <xf numFmtId="177" fontId="14" fillId="0" borderId="15" xfId="0" applyNumberFormat="1" applyFont="1" applyBorder="1" applyAlignment="1">
      <alignment horizontal="center"/>
    </xf>
    <xf numFmtId="172" fontId="14" fillId="0" borderId="9" xfId="6" applyNumberFormat="1" applyFont="1" applyFill="1" applyBorder="1" applyAlignment="1">
      <alignment horizontal="right" vertical="center"/>
    </xf>
    <xf numFmtId="172" fontId="14" fillId="0" borderId="10" xfId="6" applyNumberFormat="1" applyFont="1" applyFill="1" applyBorder="1" applyAlignment="1">
      <alignment horizontal="right" vertical="center"/>
    </xf>
    <xf numFmtId="172" fontId="14" fillId="0" borderId="11" xfId="6" applyNumberFormat="1" applyFont="1" applyFill="1" applyBorder="1" applyAlignment="1">
      <alignment horizontal="right" vertical="center"/>
    </xf>
    <xf numFmtId="172" fontId="14" fillId="0" borderId="12" xfId="6" applyNumberFormat="1" applyFont="1" applyFill="1" applyBorder="1" applyAlignment="1">
      <alignment horizontal="right" vertical="center"/>
    </xf>
    <xf numFmtId="172" fontId="14" fillId="0" borderId="0" xfId="6" applyNumberFormat="1" applyFont="1" applyFill="1" applyAlignment="1">
      <alignment horizontal="right" vertical="center"/>
    </xf>
    <xf numFmtId="172" fontId="14" fillId="0" borderId="13" xfId="6" applyNumberFormat="1" applyFont="1" applyFill="1" applyBorder="1" applyAlignment="1">
      <alignment horizontal="right" vertical="center"/>
    </xf>
    <xf numFmtId="172" fontId="17" fillId="0" borderId="29" xfId="6" applyNumberFormat="1" applyFont="1" applyFill="1" applyBorder="1" applyAlignment="1">
      <alignment horizontal="right" vertical="center"/>
    </xf>
    <xf numFmtId="172" fontId="14" fillId="0" borderId="14" xfId="6" applyNumberFormat="1" applyFont="1" applyFill="1" applyBorder="1" applyAlignment="1">
      <alignment horizontal="right" vertical="center"/>
    </xf>
    <xf numFmtId="172" fontId="14" fillId="0" borderId="4" xfId="6" applyNumberFormat="1" applyFont="1" applyFill="1" applyBorder="1" applyAlignment="1">
      <alignment horizontal="right" vertical="center"/>
    </xf>
    <xf numFmtId="172" fontId="14" fillId="0" borderId="15" xfId="6" applyNumberFormat="1" applyFont="1" applyFill="1" applyBorder="1" applyAlignment="1">
      <alignment horizontal="right" vertical="center"/>
    </xf>
    <xf numFmtId="175" fontId="14" fillId="0" borderId="9" xfId="6" applyNumberFormat="1" applyFont="1" applyFill="1" applyBorder="1" applyAlignment="1">
      <alignment vertical="center"/>
    </xf>
    <xf numFmtId="175" fontId="14" fillId="0" borderId="10" xfId="6" applyNumberFormat="1" applyFont="1" applyFill="1" applyBorder="1" applyAlignment="1">
      <alignment vertical="center"/>
    </xf>
    <xf numFmtId="175" fontId="14" fillId="0" borderId="11" xfId="6" applyNumberFormat="1" applyFont="1" applyFill="1" applyBorder="1" applyAlignment="1">
      <alignment vertical="center"/>
    </xf>
    <xf numFmtId="175" fontId="14" fillId="0" borderId="12" xfId="6" applyNumberFormat="1" applyFont="1" applyFill="1" applyBorder="1" applyAlignment="1">
      <alignment vertical="center"/>
    </xf>
    <xf numFmtId="175" fontId="14" fillId="0" borderId="0" xfId="6" applyNumberFormat="1" applyFont="1" applyFill="1" applyAlignment="1">
      <alignment vertical="center"/>
    </xf>
    <xf numFmtId="175" fontId="14" fillId="0" borderId="13" xfId="6" applyNumberFormat="1" applyFont="1" applyFill="1" applyBorder="1" applyAlignment="1">
      <alignment vertical="center"/>
    </xf>
    <xf numFmtId="175" fontId="17" fillId="0" borderId="29" xfId="6" applyNumberFormat="1" applyFont="1" applyFill="1" applyBorder="1" applyAlignment="1">
      <alignment vertical="center"/>
    </xf>
    <xf numFmtId="175" fontId="14" fillId="0" borderId="14" xfId="6" applyNumberFormat="1" applyFont="1" applyFill="1" applyBorder="1" applyAlignment="1">
      <alignment vertical="center"/>
    </xf>
    <xf numFmtId="175" fontId="14" fillId="0" borderId="4" xfId="6" applyNumberFormat="1" applyFont="1" applyFill="1" applyBorder="1" applyAlignment="1">
      <alignment vertical="center"/>
    </xf>
    <xf numFmtId="175" fontId="14" fillId="0" borderId="15" xfId="6" applyNumberFormat="1" applyFont="1" applyFill="1" applyBorder="1" applyAlignment="1">
      <alignment vertical="center"/>
    </xf>
    <xf numFmtId="169" fontId="14" fillId="0" borderId="9" xfId="6" applyNumberFormat="1" applyFont="1" applyFill="1" applyBorder="1" applyAlignment="1">
      <alignment vertical="center"/>
    </xf>
    <xf numFmtId="169" fontId="14" fillId="0" borderId="10" xfId="6" applyNumberFormat="1" applyFont="1" applyFill="1" applyBorder="1" applyAlignment="1">
      <alignment vertical="center"/>
    </xf>
    <xf numFmtId="169" fontId="14" fillId="0" borderId="11" xfId="6" applyNumberFormat="1" applyFont="1" applyFill="1" applyBorder="1" applyAlignment="1">
      <alignment vertical="center"/>
    </xf>
    <xf numFmtId="169" fontId="14" fillId="0" borderId="12" xfId="6" applyNumberFormat="1" applyFont="1" applyFill="1" applyBorder="1" applyAlignment="1">
      <alignment vertical="center"/>
    </xf>
    <xf numFmtId="169" fontId="14" fillId="0" borderId="0" xfId="6" applyNumberFormat="1" applyFont="1" applyFill="1" applyAlignment="1">
      <alignment vertical="center"/>
    </xf>
    <xf numFmtId="169" fontId="14" fillId="0" borderId="13" xfId="6" applyNumberFormat="1" applyFont="1" applyFill="1" applyBorder="1" applyAlignment="1">
      <alignment vertical="center"/>
    </xf>
    <xf numFmtId="169" fontId="17" fillId="0" borderId="29" xfId="6" applyNumberFormat="1" applyFont="1" applyFill="1" applyBorder="1" applyAlignment="1">
      <alignment vertical="center"/>
    </xf>
    <xf numFmtId="169" fontId="14" fillId="0" borderId="14" xfId="6" applyNumberFormat="1" applyFont="1" applyFill="1" applyBorder="1" applyAlignment="1">
      <alignment vertical="center"/>
    </xf>
    <xf numFmtId="169" fontId="14" fillId="0" borderId="4" xfId="6" applyNumberFormat="1" applyFont="1" applyFill="1" applyBorder="1" applyAlignment="1">
      <alignment vertical="center"/>
    </xf>
    <xf numFmtId="169" fontId="14" fillId="0" borderId="15" xfId="6" applyNumberFormat="1" applyFont="1" applyFill="1" applyBorder="1" applyAlignment="1">
      <alignment vertical="center"/>
    </xf>
    <xf numFmtId="172" fontId="14" fillId="0" borderId="22" xfId="0" applyNumberFormat="1" applyFont="1" applyBorder="1" applyAlignment="1">
      <alignment horizontal="center" vertical="center"/>
    </xf>
    <xf numFmtId="172" fontId="14" fillId="0" borderId="22" xfId="1" applyNumberFormat="1" applyFont="1" applyFill="1" applyBorder="1" applyAlignment="1">
      <alignment horizontal="center" vertical="center"/>
    </xf>
    <xf numFmtId="175" fontId="14" fillId="0" borderId="22" xfId="0" applyNumberFormat="1" applyFont="1" applyBorder="1" applyAlignment="1">
      <alignment horizontal="center" vertical="center"/>
    </xf>
    <xf numFmtId="172" fontId="14" fillId="0" borderId="23" xfId="0" applyNumberFormat="1" applyFont="1" applyBorder="1" applyAlignment="1">
      <alignment horizontal="center" vertical="center"/>
    </xf>
    <xf numFmtId="172" fontId="14" fillId="0" borderId="23" xfId="1" applyNumberFormat="1" applyFont="1" applyFill="1" applyBorder="1" applyAlignment="1">
      <alignment horizontal="center" vertical="center"/>
    </xf>
    <xf numFmtId="175" fontId="14" fillId="0" borderId="23" xfId="0" applyNumberFormat="1" applyFont="1" applyBorder="1" applyAlignment="1">
      <alignment horizontal="center" vertical="center"/>
    </xf>
    <xf numFmtId="172" fontId="14" fillId="0" borderId="6" xfId="0" applyNumberFormat="1" applyFont="1" applyBorder="1"/>
    <xf numFmtId="172" fontId="14" fillId="0" borderId="7" xfId="0" applyNumberFormat="1" applyFont="1" applyBorder="1"/>
    <xf numFmtId="172" fontId="14" fillId="0" borderId="19" xfId="0" applyNumberFormat="1" applyFont="1" applyBorder="1"/>
    <xf numFmtId="175" fontId="14" fillId="0" borderId="15" xfId="0" applyNumberFormat="1" applyFont="1" applyBorder="1"/>
    <xf numFmtId="178" fontId="22" fillId="0" borderId="10" xfId="0" applyNumberFormat="1" applyFont="1" applyBorder="1" applyAlignment="1">
      <alignment horizontal="right"/>
    </xf>
    <xf numFmtId="178" fontId="22" fillId="0" borderId="4" xfId="0" applyNumberFormat="1" applyFont="1" applyBorder="1" applyAlignment="1">
      <alignment horizontal="right"/>
    </xf>
    <xf numFmtId="201" fontId="12" fillId="0" borderId="0" xfId="0" applyNumberFormat="1" applyFont="1" applyAlignment="1">
      <alignment horizontal="right"/>
    </xf>
    <xf numFmtId="201" fontId="12" fillId="0" borderId="4" xfId="0" applyNumberFormat="1" applyFont="1" applyBorder="1" applyAlignment="1">
      <alignment horizontal="right"/>
    </xf>
    <xf numFmtId="169" fontId="14" fillId="0" borderId="25" xfId="0" applyNumberFormat="1" applyFont="1" applyBorder="1" applyAlignment="1">
      <alignment vertical="center"/>
    </xf>
    <xf numFmtId="169" fontId="14" fillId="0" borderId="27" xfId="0" applyNumberFormat="1" applyFont="1" applyBorder="1" applyAlignment="1">
      <alignment vertical="center"/>
    </xf>
    <xf numFmtId="169" fontId="14" fillId="0" borderId="5" xfId="0" applyNumberFormat="1" applyFont="1" applyBorder="1" applyAlignment="1">
      <alignment vertical="center"/>
    </xf>
    <xf numFmtId="169" fontId="14" fillId="0" borderId="26" xfId="0" applyNumberFormat="1" applyFont="1" applyBorder="1" applyAlignment="1">
      <alignment vertical="center"/>
    </xf>
    <xf numFmtId="169" fontId="12" fillId="0" borderId="5" xfId="0" applyNumberFormat="1" applyFont="1" applyBorder="1" applyAlignment="1">
      <alignment horizontal="right" vertical="center"/>
    </xf>
    <xf numFmtId="169" fontId="12" fillId="0" borderId="26" xfId="0" applyNumberFormat="1" applyFont="1" applyBorder="1" applyAlignment="1">
      <alignment horizontal="right" vertical="center"/>
    </xf>
    <xf numFmtId="169" fontId="17" fillId="0" borderId="5" xfId="0" applyNumberFormat="1" applyFont="1" applyBorder="1" applyAlignment="1">
      <alignment vertical="center"/>
    </xf>
    <xf numFmtId="169" fontId="17" fillId="0" borderId="28" xfId="0" applyNumberFormat="1" applyFont="1" applyBorder="1" applyAlignment="1">
      <alignment vertical="center"/>
    </xf>
    <xf numFmtId="0" fontId="6" fillId="0" borderId="0" xfId="0" applyFont="1" applyAlignment="1">
      <alignment horizontal="left"/>
    </xf>
    <xf numFmtId="171" fontId="50" fillId="0" borderId="0" xfId="0" applyNumberFormat="1" applyFont="1" applyAlignment="1">
      <alignment horizontal="right"/>
    </xf>
    <xf numFmtId="171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 vertical="center"/>
    </xf>
    <xf numFmtId="171" fontId="14" fillId="0" borderId="9" xfId="0" applyNumberFormat="1" applyFont="1" applyBorder="1" applyAlignment="1">
      <alignment horizontal="center"/>
    </xf>
    <xf numFmtId="171" fontId="14" fillId="0" borderId="12" xfId="0" applyNumberFormat="1" applyFont="1" applyBorder="1" applyAlignment="1">
      <alignment horizontal="center"/>
    </xf>
    <xf numFmtId="171" fontId="14" fillId="0" borderId="14" xfId="0" applyNumberFormat="1" applyFont="1" applyBorder="1" applyAlignment="1">
      <alignment horizontal="center"/>
    </xf>
    <xf numFmtId="169" fontId="14" fillId="0" borderId="0" xfId="6" applyNumberFormat="1" applyFont="1" applyFill="1" applyBorder="1" applyAlignment="1">
      <alignment vertical="center"/>
    </xf>
    <xf numFmtId="172" fontId="14" fillId="0" borderId="0" xfId="1" applyNumberFormat="1" applyFont="1" applyFill="1" applyBorder="1" applyAlignment="1">
      <alignment vertical="center"/>
    </xf>
    <xf numFmtId="195" fontId="1" fillId="0" borderId="0" xfId="2" applyNumberFormat="1" applyFont="1" applyFill="1" applyBorder="1" applyAlignment="1" applyProtection="1">
      <alignment horizontal="right" vertical="center"/>
      <protection locked="0"/>
    </xf>
    <xf numFmtId="0" fontId="13" fillId="0" borderId="23" xfId="0" applyFont="1" applyBorder="1"/>
    <xf numFmtId="172" fontId="14" fillId="0" borderId="3" xfId="0" applyNumberFormat="1" applyFont="1" applyBorder="1" applyAlignment="1">
      <alignment vertical="center"/>
    </xf>
    <xf numFmtId="175" fontId="14" fillId="0" borderId="4" xfId="0" applyNumberFormat="1" applyFont="1" applyBorder="1" applyAlignment="1">
      <alignment horizontal="right" vertical="center"/>
    </xf>
    <xf numFmtId="172" fontId="14" fillId="0" borderId="4" xfId="0" applyNumberFormat="1" applyFont="1" applyBorder="1" applyAlignment="1">
      <alignment vertical="center"/>
    </xf>
    <xf numFmtId="174" fontId="22" fillId="0" borderId="0" xfId="1" applyNumberFormat="1" applyFont="1" applyFill="1" applyBorder="1" applyAlignment="1">
      <alignment vertical="center"/>
    </xf>
    <xf numFmtId="174" fontId="14" fillId="0" borderId="0" xfId="1" applyNumberFormat="1" applyFont="1" applyFill="1" applyBorder="1" applyAlignment="1">
      <alignment horizontal="center" vertical="center"/>
    </xf>
    <xf numFmtId="174" fontId="14" fillId="0" borderId="23" xfId="1" applyNumberFormat="1" applyFont="1" applyFill="1" applyBorder="1" applyAlignment="1">
      <alignment horizontal="center" vertical="center"/>
    </xf>
    <xf numFmtId="172" fontId="17" fillId="0" borderId="16" xfId="1" applyNumberFormat="1" applyFont="1" applyFill="1" applyBorder="1" applyAlignment="1">
      <alignment vertical="center"/>
    </xf>
    <xf numFmtId="172" fontId="17" fillId="0" borderId="18" xfId="1" applyNumberFormat="1" applyFont="1" applyFill="1" applyBorder="1" applyAlignment="1">
      <alignment vertical="center"/>
    </xf>
    <xf numFmtId="172" fontId="17" fillId="0" borderId="17" xfId="1" applyNumberFormat="1" applyFont="1" applyFill="1" applyBorder="1" applyAlignment="1">
      <alignment vertical="center"/>
    </xf>
    <xf numFmtId="174" fontId="1" fillId="0" borderId="0" xfId="0" applyNumberFormat="1" applyFont="1" applyAlignment="1">
      <alignment vertical="center"/>
    </xf>
    <xf numFmtId="174" fontId="30" fillId="0" borderId="0" xfId="0" applyNumberFormat="1" applyFont="1" applyAlignment="1">
      <alignment horizontal="right" vertical="center"/>
    </xf>
    <xf numFmtId="174" fontId="32" fillId="0" borderId="0" xfId="0" applyNumberFormat="1" applyFont="1"/>
    <xf numFmtId="174" fontId="18" fillId="0" borderId="0" xfId="0" applyNumberFormat="1" applyFont="1" applyAlignment="1">
      <alignment horizontal="right" vertical="center"/>
    </xf>
    <xf numFmtId="172" fontId="1" fillId="0" borderId="0" xfId="0" applyNumberFormat="1" applyFont="1" applyAlignment="1">
      <alignment vertical="center"/>
    </xf>
    <xf numFmtId="172" fontId="18" fillId="0" borderId="0" xfId="0" applyNumberFormat="1" applyFont="1" applyAlignment="1">
      <alignment horizontal="right" vertical="center"/>
    </xf>
    <xf numFmtId="172" fontId="32" fillId="0" borderId="0" xfId="0" applyNumberFormat="1" applyFont="1"/>
    <xf numFmtId="169" fontId="17" fillId="0" borderId="16" xfId="1" applyNumberFormat="1" applyFont="1" applyFill="1" applyBorder="1" applyAlignment="1">
      <alignment horizontal="right" vertical="center"/>
    </xf>
    <xf numFmtId="169" fontId="17" fillId="0" borderId="18" xfId="1" applyNumberFormat="1" applyFont="1" applyFill="1" applyBorder="1" applyAlignment="1">
      <alignment horizontal="right" vertical="center"/>
    </xf>
    <xf numFmtId="169" fontId="17" fillId="0" borderId="17" xfId="1" applyNumberFormat="1" applyFont="1" applyFill="1" applyBorder="1" applyAlignment="1">
      <alignment horizontal="right" vertical="center"/>
    </xf>
    <xf numFmtId="169" fontId="1" fillId="0" borderId="0" xfId="0" applyNumberFormat="1" applyFont="1" applyAlignment="1">
      <alignment horizontal="right" vertical="center"/>
    </xf>
    <xf numFmtId="169" fontId="18" fillId="0" borderId="0" xfId="0" applyNumberFormat="1" applyFont="1" applyAlignment="1">
      <alignment horizontal="right" vertical="center"/>
    </xf>
    <xf numFmtId="169" fontId="32" fillId="0" borderId="0" xfId="0" applyNumberFormat="1" applyFont="1" applyAlignment="1">
      <alignment horizontal="right"/>
    </xf>
    <xf numFmtId="169" fontId="14" fillId="0" borderId="11" xfId="0" applyNumberFormat="1" applyFont="1" applyBorder="1" applyAlignment="1">
      <alignment horizontal="right" vertical="center"/>
    </xf>
    <xf numFmtId="169" fontId="14" fillId="0" borderId="13" xfId="0" applyNumberFormat="1" applyFont="1" applyBorder="1" applyAlignment="1">
      <alignment horizontal="right" vertical="center"/>
    </xf>
    <xf numFmtId="169" fontId="14" fillId="0" borderId="15" xfId="0" applyNumberFormat="1" applyFont="1" applyBorder="1" applyAlignment="1">
      <alignment horizontal="right" vertical="center"/>
    </xf>
    <xf numFmtId="0" fontId="14" fillId="0" borderId="0" xfId="0" applyFont="1" applyAlignment="1">
      <alignment horizontal="center" vertical="center"/>
    </xf>
    <xf numFmtId="180" fontId="14" fillId="0" borderId="0" xfId="0" applyNumberFormat="1" applyFont="1" applyAlignment="1">
      <alignment horizontal="center"/>
    </xf>
    <xf numFmtId="180" fontId="14" fillId="0" borderId="38" xfId="0" applyNumberFormat="1" applyFont="1" applyBorder="1" applyAlignment="1">
      <alignment horizontal="center"/>
    </xf>
    <xf numFmtId="180" fontId="14" fillId="0" borderId="39" xfId="0" applyNumberFormat="1" applyFont="1" applyBorder="1" applyAlignment="1">
      <alignment horizontal="center"/>
    </xf>
    <xf numFmtId="167" fontId="3" fillId="0" borderId="31" xfId="0" applyNumberFormat="1" applyFont="1" applyBorder="1" applyAlignment="1">
      <alignment horizontal="right"/>
    </xf>
    <xf numFmtId="169" fontId="14" fillId="0" borderId="21" xfId="0" applyNumberFormat="1" applyFont="1" applyBorder="1"/>
    <xf numFmtId="169" fontId="14" fillId="0" borderId="7" xfId="0" applyNumberFormat="1" applyFont="1" applyBorder="1"/>
    <xf numFmtId="178" fontId="22" fillId="0" borderId="0" xfId="0" applyNumberFormat="1" applyFont="1" applyAlignment="1">
      <alignment horizontal="right"/>
    </xf>
    <xf numFmtId="175" fontId="14" fillId="0" borderId="11" xfId="0" applyNumberFormat="1" applyFont="1" applyBorder="1"/>
    <xf numFmtId="169" fontId="14" fillId="0" borderId="8" xfId="0" applyNumberFormat="1" applyFont="1" applyBorder="1"/>
    <xf numFmtId="176" fontId="14" fillId="0" borderId="0" xfId="0" applyNumberFormat="1" applyFont="1" applyAlignment="1">
      <alignment horizontal="left"/>
    </xf>
    <xf numFmtId="169" fontId="15" fillId="0" borderId="9" xfId="0" applyNumberFormat="1" applyFont="1" applyBorder="1"/>
    <xf numFmtId="169" fontId="15" fillId="0" borderId="12" xfId="0" applyNumberFormat="1" applyFont="1" applyBorder="1"/>
    <xf numFmtId="169" fontId="15" fillId="0" borderId="13" xfId="0" applyNumberFormat="1" applyFont="1" applyBorder="1"/>
    <xf numFmtId="169" fontId="15" fillId="0" borderId="14" xfId="0" applyNumberFormat="1" applyFont="1" applyBorder="1"/>
    <xf numFmtId="169" fontId="15" fillId="0" borderId="20" xfId="0" applyNumberFormat="1" applyFont="1" applyBorder="1" applyAlignment="1">
      <alignment horizontal="right"/>
    </xf>
    <xf numFmtId="169" fontId="15" fillId="0" borderId="4" xfId="0" applyNumberFormat="1" applyFont="1" applyBorder="1" applyAlignment="1">
      <alignment horizontal="right"/>
    </xf>
    <xf numFmtId="169" fontId="15" fillId="0" borderId="21" xfId="0" applyNumberFormat="1" applyFont="1" applyBorder="1" applyAlignment="1">
      <alignment horizontal="right"/>
    </xf>
    <xf numFmtId="169" fontId="12" fillId="0" borderId="0" xfId="1" applyNumberFormat="1" applyFont="1" applyFill="1" applyAlignment="1">
      <alignment horizontal="right"/>
    </xf>
    <xf numFmtId="169" fontId="12" fillId="0" borderId="0" xfId="1" applyNumberFormat="1" applyFont="1" applyFill="1" applyBorder="1" applyAlignment="1">
      <alignment horizontal="right"/>
    </xf>
    <xf numFmtId="169" fontId="12" fillId="0" borderId="24" xfId="1" applyNumberFormat="1" applyFont="1" applyFill="1" applyBorder="1" applyAlignment="1">
      <alignment horizontal="right"/>
    </xf>
    <xf numFmtId="169" fontId="14" fillId="0" borderId="21" xfId="0" applyNumberFormat="1" applyFont="1" applyBorder="1" applyAlignment="1">
      <alignment horizontal="right"/>
    </xf>
    <xf numFmtId="172" fontId="14" fillId="0" borderId="21" xfId="0" applyNumberFormat="1" applyFont="1" applyBorder="1"/>
    <xf numFmtId="172" fontId="14" fillId="0" borderId="20" xfId="0" applyNumberFormat="1" applyFont="1" applyBorder="1"/>
    <xf numFmtId="169" fontId="43" fillId="0" borderId="20" xfId="0" applyNumberFormat="1" applyFont="1" applyBorder="1" applyAlignment="1">
      <alignment horizontal="center"/>
    </xf>
    <xf numFmtId="169" fontId="43" fillId="0" borderId="24" xfId="0" applyNumberFormat="1" applyFont="1" applyBorder="1" applyAlignment="1">
      <alignment horizontal="center"/>
    </xf>
    <xf numFmtId="175" fontId="14" fillId="0" borderId="19" xfId="6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 textRotation="90"/>
    </xf>
    <xf numFmtId="0" fontId="14" fillId="0" borderId="0" xfId="0" applyFont="1" applyAlignment="1">
      <alignment horizontal="center" vertical="center" textRotation="90"/>
    </xf>
    <xf numFmtId="0" fontId="0" fillId="4" borderId="0" xfId="0" applyFill="1"/>
    <xf numFmtId="0" fontId="51" fillId="4" borderId="0" xfId="0" applyNumberFormat="1" applyFont="1" applyFill="1"/>
    <xf numFmtId="0" fontId="8" fillId="0" borderId="0" xfId="0" applyFont="1"/>
    <xf numFmtId="0" fontId="52" fillId="4" borderId="0" xfId="0" applyNumberFormat="1" applyFont="1" applyFill="1" applyAlignment="1">
      <alignment horizontal="center" vertical="center"/>
    </xf>
    <xf numFmtId="0" fontId="53" fillId="4" borderId="0" xfId="0" applyNumberFormat="1" applyFont="1" applyFill="1" applyAlignment="1">
      <alignment horizontal="center" vertical="center"/>
    </xf>
    <xf numFmtId="0" fontId="54" fillId="4" borderId="0" xfId="0" applyNumberFormat="1" applyFont="1" applyFill="1" applyAlignment="1">
      <alignment horizontal="center" vertical="center"/>
    </xf>
    <xf numFmtId="0" fontId="55" fillId="4" borderId="0" xfId="0" applyNumberFormat="1" applyFont="1" applyFill="1" applyAlignment="1">
      <alignment horizontal="left" indent="1"/>
    </xf>
    <xf numFmtId="0" fontId="55" fillId="4" borderId="0" xfId="0" applyNumberFormat="1" applyFont="1" applyFill="1" applyAlignment="1">
      <alignment horizontal="center"/>
    </xf>
    <xf numFmtId="0" fontId="51" fillId="4" borderId="0" xfId="0" applyNumberFormat="1" applyFont="1" applyFill="1" applyAlignment="1">
      <alignment horizontal="center" vertical="center" wrapText="1"/>
    </xf>
    <xf numFmtId="0" fontId="57" fillId="4" borderId="0" xfId="0" applyNumberFormat="1" applyFont="1" applyFill="1" applyAlignment="1">
      <alignment horizontal="left" vertical="center" indent="1"/>
    </xf>
    <xf numFmtId="0" fontId="8" fillId="5" borderId="0" xfId="0" applyFont="1" applyFill="1"/>
    <xf numFmtId="37" fontId="3" fillId="4" borderId="0" xfId="0" applyNumberFormat="1" applyFont="1" applyFill="1" applyAlignment="1">
      <alignment vertical="center"/>
    </xf>
    <xf numFmtId="37" fontId="4" fillId="4" borderId="0" xfId="0" applyNumberFormat="1" applyFont="1" applyFill="1" applyAlignment="1">
      <alignment vertical="center"/>
    </xf>
    <xf numFmtId="167" fontId="3" fillId="4" borderId="0" xfId="0" applyNumberFormat="1" applyFont="1" applyFill="1" applyAlignment="1">
      <alignment horizontal="right"/>
    </xf>
    <xf numFmtId="0" fontId="55" fillId="4" borderId="0" xfId="0" applyNumberFormat="1" applyFont="1" applyFill="1" applyAlignment="1">
      <alignment vertical="center"/>
    </xf>
    <xf numFmtId="37" fontId="24" fillId="4" borderId="0" xfId="0" applyNumberFormat="1" applyFont="1" applyFill="1" applyAlignment="1">
      <alignment vertical="center"/>
    </xf>
    <xf numFmtId="37" fontId="58" fillId="4" borderId="0" xfId="0" applyNumberFormat="1" applyFont="1" applyFill="1" applyAlignment="1">
      <alignment vertical="center"/>
    </xf>
    <xf numFmtId="167" fontId="24" fillId="4" borderId="0" xfId="0" applyNumberFormat="1" applyFont="1" applyFill="1" applyAlignment="1">
      <alignment horizontal="right"/>
    </xf>
    <xf numFmtId="166" fontId="8" fillId="5" borderId="0" xfId="5" applyNumberFormat="1" applyFont="1" applyFill="1" applyProtection="1">
      <protection locked="0"/>
    </xf>
    <xf numFmtId="166" fontId="9" fillId="5" borderId="0" xfId="5" applyNumberFormat="1" applyFont="1" applyFill="1" applyProtection="1">
      <protection locked="0"/>
    </xf>
    <xf numFmtId="166" fontId="9" fillId="5" borderId="0" xfId="5" applyNumberFormat="1" applyFont="1" applyFill="1" applyAlignment="1" applyProtection="1">
      <alignment horizontal="center"/>
      <protection locked="0"/>
    </xf>
    <xf numFmtId="166" fontId="9" fillId="5" borderId="0" xfId="5" applyNumberFormat="1" applyFont="1" applyFill="1" applyAlignment="1">
      <alignment horizontal="right"/>
    </xf>
    <xf numFmtId="0" fontId="59" fillId="4" borderId="0" xfId="0" applyFont="1" applyFill="1" applyAlignment="1">
      <alignment horizontal="right" vertical="center"/>
    </xf>
    <xf numFmtId="0" fontId="60" fillId="4" borderId="0" xfId="0" applyNumberFormat="1" applyFont="1" applyFill="1" applyAlignment="1">
      <alignment horizontal="center" vertical="center" wrapText="1"/>
    </xf>
    <xf numFmtId="167" fontId="61" fillId="0" borderId="0" xfId="0" applyNumberFormat="1" applyFont="1" applyAlignment="1">
      <alignment horizontal="right"/>
    </xf>
    <xf numFmtId="171" fontId="62" fillId="0" borderId="0" xfId="0" applyNumberFormat="1" applyFont="1" applyAlignment="1">
      <alignment horizontal="center"/>
    </xf>
    <xf numFmtId="0" fontId="62" fillId="0" borderId="0" xfId="0" applyFont="1" applyAlignment="1">
      <alignment vertical="center"/>
    </xf>
    <xf numFmtId="37" fontId="63" fillId="4" borderId="0" xfId="0" applyNumberFormat="1" applyFont="1" applyFill="1" applyAlignment="1">
      <alignment vertical="center"/>
    </xf>
    <xf numFmtId="37" fontId="63" fillId="0" borderId="0" xfId="0" applyNumberFormat="1" applyFont="1" applyAlignment="1">
      <alignment vertical="center"/>
    </xf>
    <xf numFmtId="183" fontId="62" fillId="0" borderId="0" xfId="0" applyNumberFormat="1" applyFont="1" applyAlignment="1">
      <alignment horizontal="right" vertical="center"/>
    </xf>
    <xf numFmtId="174" fontId="62" fillId="0" borderId="0" xfId="0" applyNumberFormat="1" applyFont="1" applyAlignment="1">
      <alignment horizontal="right" vertical="center"/>
    </xf>
    <xf numFmtId="172" fontId="62" fillId="0" borderId="9" xfId="0" applyNumberFormat="1" applyFont="1" applyBorder="1" applyAlignment="1">
      <alignment vertical="center"/>
    </xf>
    <xf numFmtId="172" fontId="62" fillId="0" borderId="10" xfId="0" applyNumberFormat="1" applyFont="1" applyBorder="1" applyAlignment="1">
      <alignment vertical="center"/>
    </xf>
    <xf numFmtId="172" fontId="62" fillId="0" borderId="11" xfId="0" applyNumberFormat="1" applyFont="1" applyBorder="1" applyAlignment="1">
      <alignment vertical="center"/>
    </xf>
    <xf numFmtId="172" fontId="62" fillId="0" borderId="12" xfId="0" applyNumberFormat="1" applyFont="1" applyBorder="1" applyAlignment="1">
      <alignment vertical="center"/>
    </xf>
    <xf numFmtId="172" fontId="62" fillId="0" borderId="0" xfId="0" applyNumberFormat="1" applyFont="1" applyAlignment="1">
      <alignment vertical="center"/>
    </xf>
    <xf numFmtId="172" fontId="62" fillId="0" borderId="13" xfId="0" applyNumberFormat="1" applyFont="1" applyBorder="1" applyAlignment="1">
      <alignment vertical="center"/>
    </xf>
    <xf numFmtId="172" fontId="62" fillId="0" borderId="14" xfId="0" applyNumberFormat="1" applyFont="1" applyBorder="1" applyAlignment="1">
      <alignment vertical="center"/>
    </xf>
    <xf numFmtId="172" fontId="62" fillId="0" borderId="4" xfId="0" applyNumberFormat="1" applyFont="1" applyBorder="1" applyAlignment="1">
      <alignment vertical="center"/>
    </xf>
    <xf numFmtId="172" fontId="62" fillId="0" borderId="15" xfId="0" applyNumberFormat="1" applyFont="1" applyBorder="1" applyAlignment="1">
      <alignment vertical="center"/>
    </xf>
    <xf numFmtId="172" fontId="62" fillId="0" borderId="0" xfId="0" applyNumberFormat="1" applyFont="1" applyAlignment="1">
      <alignment horizontal="right" vertical="center"/>
    </xf>
    <xf numFmtId="169" fontId="62" fillId="0" borderId="0" xfId="0" applyNumberFormat="1" applyFont="1" applyAlignment="1">
      <alignment horizontal="right" vertical="center"/>
    </xf>
    <xf numFmtId="169" fontId="62" fillId="0" borderId="9" xfId="0" applyNumberFormat="1" applyFont="1" applyBorder="1" applyAlignment="1">
      <alignment horizontal="right" vertical="center"/>
    </xf>
    <xf numFmtId="169" fontId="62" fillId="0" borderId="10" xfId="0" applyNumberFormat="1" applyFont="1" applyBorder="1" applyAlignment="1">
      <alignment horizontal="right" vertical="center"/>
    </xf>
    <xf numFmtId="169" fontId="62" fillId="0" borderId="11" xfId="0" applyNumberFormat="1" applyFont="1" applyBorder="1" applyAlignment="1">
      <alignment horizontal="right" vertical="center"/>
    </xf>
    <xf numFmtId="169" fontId="62" fillId="0" borderId="12" xfId="0" applyNumberFormat="1" applyFont="1" applyBorder="1" applyAlignment="1">
      <alignment horizontal="right" vertical="center"/>
    </xf>
    <xf numFmtId="169" fontId="62" fillId="0" borderId="13" xfId="0" applyNumberFormat="1" applyFont="1" applyBorder="1" applyAlignment="1">
      <alignment horizontal="right" vertical="center"/>
    </xf>
    <xf numFmtId="169" fontId="62" fillId="0" borderId="14" xfId="0" applyNumberFormat="1" applyFont="1" applyBorder="1" applyAlignment="1">
      <alignment horizontal="right" vertical="center"/>
    </xf>
    <xf numFmtId="169" fontId="62" fillId="0" borderId="4" xfId="0" applyNumberFormat="1" applyFont="1" applyBorder="1" applyAlignment="1">
      <alignment horizontal="right" vertical="center"/>
    </xf>
    <xf numFmtId="169" fontId="62" fillId="0" borderId="15" xfId="0" applyNumberFormat="1" applyFont="1" applyBorder="1" applyAlignment="1">
      <alignment horizontal="right" vertical="center"/>
    </xf>
    <xf numFmtId="172" fontId="62" fillId="0" borderId="6" xfId="0" applyNumberFormat="1" applyFont="1" applyBorder="1" applyAlignment="1">
      <alignment horizontal="right" vertical="center"/>
    </xf>
    <xf numFmtId="172" fontId="62" fillId="0" borderId="7" xfId="0" applyNumberFormat="1" applyFont="1" applyBorder="1" applyAlignment="1">
      <alignment horizontal="right" vertical="center"/>
    </xf>
    <xf numFmtId="172" fontId="62" fillId="0" borderId="8" xfId="0" applyNumberFormat="1" applyFont="1" applyBorder="1" applyAlignment="1">
      <alignment horizontal="right" vertical="center"/>
    </xf>
    <xf numFmtId="174" fontId="62" fillId="0" borderId="0" xfId="0" applyNumberFormat="1" applyFont="1" applyAlignment="1">
      <alignment vertical="center"/>
    </xf>
    <xf numFmtId="174" fontId="62" fillId="0" borderId="4" xfId="0" applyNumberFormat="1" applyFont="1" applyBorder="1" applyAlignment="1">
      <alignment vertical="center"/>
    </xf>
    <xf numFmtId="0" fontId="64" fillId="0" borderId="0" xfId="0" applyFont="1" applyAlignment="1">
      <alignment horizontal="right"/>
    </xf>
    <xf numFmtId="0" fontId="61" fillId="0" borderId="0" xfId="0" applyFont="1" applyAlignment="1">
      <alignment horizontal="right"/>
    </xf>
    <xf numFmtId="37" fontId="62" fillId="0" borderId="0" xfId="0" applyNumberFormat="1" applyFont="1" applyAlignment="1">
      <alignment horizontal="left" vertical="center"/>
    </xf>
    <xf numFmtId="172" fontId="62" fillId="0" borderId="0" xfId="0" applyNumberFormat="1" applyFont="1" applyAlignment="1">
      <alignment horizontal="center" vertical="center"/>
    </xf>
    <xf numFmtId="175" fontId="62" fillId="0" borderId="0" xfId="0" applyNumberFormat="1" applyFont="1" applyAlignment="1">
      <alignment horizontal="center" vertical="center"/>
    </xf>
    <xf numFmtId="37" fontId="62" fillId="0" borderId="23" xfId="0" applyNumberFormat="1" applyFont="1" applyBorder="1" applyAlignment="1">
      <alignment horizontal="left" vertical="center"/>
    </xf>
    <xf numFmtId="169" fontId="62" fillId="0" borderId="23" xfId="0" applyNumberFormat="1" applyFont="1" applyBorder="1" applyAlignment="1">
      <alignment horizontal="right" vertical="center"/>
    </xf>
    <xf numFmtId="172" fontId="62" fillId="0" borderId="23" xfId="0" applyNumberFormat="1" applyFont="1" applyBorder="1" applyAlignment="1">
      <alignment horizontal="center" vertical="center"/>
    </xf>
    <xf numFmtId="175" fontId="62" fillId="0" borderId="23" xfId="0" applyNumberFormat="1" applyFont="1" applyBorder="1" applyAlignment="1">
      <alignment horizontal="center" vertical="center"/>
    </xf>
    <xf numFmtId="175" fontId="62" fillId="0" borderId="0" xfId="0" applyNumberFormat="1" applyFont="1" applyAlignment="1">
      <alignment horizontal="right" vertical="center"/>
    </xf>
    <xf numFmtId="175" fontId="62" fillId="0" borderId="0" xfId="0" applyNumberFormat="1" applyFont="1"/>
    <xf numFmtId="169" fontId="62" fillId="0" borderId="0" xfId="0" applyNumberFormat="1" applyFont="1" applyAlignment="1">
      <alignment vertical="center"/>
    </xf>
    <xf numFmtId="169" fontId="62" fillId="0" borderId="4" xfId="0" applyNumberFormat="1" applyFont="1" applyBorder="1" applyAlignment="1">
      <alignment vertical="center"/>
    </xf>
    <xf numFmtId="200" fontId="62" fillId="0" borderId="22" xfId="0" applyNumberFormat="1" applyFont="1" applyBorder="1" applyAlignment="1">
      <alignment horizontal="right" vertical="center"/>
    </xf>
    <xf numFmtId="169" fontId="62" fillId="0" borderId="22" xfId="6" applyNumberFormat="1" applyFont="1" applyFill="1" applyBorder="1" applyAlignment="1">
      <alignment vertical="center"/>
    </xf>
    <xf numFmtId="200" fontId="62" fillId="0" borderId="0" xfId="0" applyNumberFormat="1" applyFont="1" applyAlignment="1">
      <alignment horizontal="right" vertical="center"/>
    </xf>
    <xf numFmtId="169" fontId="62" fillId="0" borderId="0" xfId="6" applyNumberFormat="1" applyFont="1" applyFill="1" applyBorder="1" applyAlignment="1">
      <alignment vertical="center"/>
    </xf>
    <xf numFmtId="169" fontId="62" fillId="0" borderId="0" xfId="6" applyNumberFormat="1" applyFont="1"/>
    <xf numFmtId="175" fontId="62" fillId="0" borderId="0" xfId="1" applyNumberFormat="1" applyFont="1" applyFill="1" applyBorder="1" applyAlignment="1">
      <alignment horizontal="right" vertical="center"/>
    </xf>
    <xf numFmtId="178" fontId="62" fillId="0" borderId="0" xfId="1" applyNumberFormat="1" applyFont="1" applyFill="1" applyBorder="1" applyAlignment="1">
      <alignment vertical="center"/>
    </xf>
    <xf numFmtId="172" fontId="62" fillId="0" borderId="0" xfId="1" applyNumberFormat="1" applyFont="1" applyFill="1" applyBorder="1" applyAlignment="1">
      <alignment vertical="center"/>
    </xf>
    <xf numFmtId="172" fontId="62" fillId="0" borderId="0" xfId="1" applyNumberFormat="1" applyFont="1" applyFill="1" applyBorder="1" applyAlignment="1">
      <alignment horizontal="right" vertical="center"/>
    </xf>
    <xf numFmtId="197" fontId="62" fillId="0" borderId="0" xfId="6" applyNumberFormat="1" applyFont="1" applyFill="1" applyBorder="1" applyAlignment="1">
      <alignment vertical="center"/>
    </xf>
    <xf numFmtId="175" fontId="62" fillId="0" borderId="0" xfId="6" applyNumberFormat="1" applyFont="1" applyFill="1" applyBorder="1" applyAlignment="1">
      <alignment vertical="center"/>
    </xf>
    <xf numFmtId="166" fontId="65" fillId="5" borderId="0" xfId="5" applyNumberFormat="1" applyFont="1" applyFill="1" applyAlignment="1" applyProtection="1">
      <alignment horizontal="center"/>
      <protection locked="0"/>
    </xf>
    <xf numFmtId="166" fontId="65" fillId="5" borderId="0" xfId="5" applyNumberFormat="1" applyFont="1" applyFill="1" applyAlignment="1" applyProtection="1">
      <protection locked="0"/>
    </xf>
    <xf numFmtId="166" fontId="66" fillId="5" borderId="0" xfId="5" applyNumberFormat="1" applyFont="1" applyFill="1" applyProtection="1">
      <protection locked="0"/>
    </xf>
    <xf numFmtId="198" fontId="66" fillId="5" borderId="0" xfId="5" applyNumberFormat="1" applyFont="1" applyFill="1" applyAlignment="1" applyProtection="1">
      <alignment horizontal="center"/>
      <protection locked="0"/>
    </xf>
    <xf numFmtId="0" fontId="67" fillId="0" borderId="0" xfId="0" applyFont="1" applyAlignment="1">
      <alignment horizontal="right" vertical="center"/>
    </xf>
    <xf numFmtId="169" fontId="62" fillId="0" borderId="6" xfId="0" applyNumberFormat="1" applyFont="1" applyBorder="1"/>
    <xf numFmtId="169" fontId="62" fillId="0" borderId="7" xfId="0" applyNumberFormat="1" applyFont="1" applyBorder="1"/>
    <xf numFmtId="184" fontId="62" fillId="0" borderId="0" xfId="0" applyNumberFormat="1" applyFont="1"/>
    <xf numFmtId="169" fontId="62" fillId="0" borderId="0" xfId="0" applyNumberFormat="1" applyFont="1"/>
    <xf numFmtId="0" fontId="67" fillId="4" borderId="0" xfId="0" applyFont="1" applyFill="1" applyAlignment="1">
      <alignment horizontal="right" vertical="center"/>
    </xf>
    <xf numFmtId="172" fontId="62" fillId="0" borderId="14" xfId="0" applyNumberFormat="1" applyFont="1" applyBorder="1"/>
    <xf numFmtId="172" fontId="62" fillId="0" borderId="4" xfId="0" applyNumberFormat="1" applyFont="1" applyBorder="1"/>
    <xf numFmtId="172" fontId="62" fillId="0" borderId="0" xfId="0" applyNumberFormat="1" applyFont="1"/>
    <xf numFmtId="175" fontId="62" fillId="0" borderId="4" xfId="0" applyNumberFormat="1" applyFont="1" applyBorder="1"/>
    <xf numFmtId="169" fontId="62" fillId="0" borderId="4" xfId="0" applyNumberFormat="1" applyFont="1" applyBorder="1"/>
    <xf numFmtId="174" fontId="62" fillId="0" borderId="4" xfId="1" applyNumberFormat="1" applyFont="1" applyFill="1" applyBorder="1"/>
    <xf numFmtId="169" fontId="62" fillId="0" borderId="0" xfId="0" applyNumberFormat="1" applyFont="1" applyAlignment="1">
      <alignment horizontal="right"/>
    </xf>
    <xf numFmtId="169" fontId="62" fillId="0" borderId="4" xfId="0" applyNumberFormat="1" applyFont="1" applyBorder="1" applyAlignment="1">
      <alignment horizontal="right"/>
    </xf>
    <xf numFmtId="169" fontId="61" fillId="0" borderId="0" xfId="1" applyNumberFormat="1" applyFont="1" applyFill="1" applyAlignment="1">
      <alignment horizontal="right"/>
    </xf>
    <xf numFmtId="169" fontId="62" fillId="0" borderId="21" xfId="0" applyNumberFormat="1" applyFont="1" applyBorder="1" applyAlignment="1">
      <alignment horizontal="right"/>
    </xf>
    <xf numFmtId="169" fontId="62" fillId="0" borderId="1" xfId="0" applyNumberFormat="1" applyFont="1" applyBorder="1" applyAlignment="1">
      <alignment horizontal="right"/>
    </xf>
    <xf numFmtId="37" fontId="1" fillId="4" borderId="0" xfId="0" applyNumberFormat="1" applyFont="1" applyFill="1" applyAlignment="1">
      <alignment vertical="center"/>
    </xf>
    <xf numFmtId="173" fontId="11" fillId="4" borderId="0" xfId="0" applyNumberFormat="1" applyFont="1" applyFill="1" applyAlignment="1">
      <alignment horizontal="centerContinuous"/>
    </xf>
    <xf numFmtId="173" fontId="12" fillId="4" borderId="0" xfId="0" applyNumberFormat="1" applyFont="1" applyFill="1" applyAlignment="1">
      <alignment horizontal="centerContinuous"/>
    </xf>
    <xf numFmtId="171" fontId="62" fillId="0" borderId="0" xfId="0" applyNumberFormat="1" applyFont="1"/>
    <xf numFmtId="190" fontId="63" fillId="4" borderId="0" xfId="0" applyNumberFormat="1" applyFont="1" applyFill="1" applyAlignment="1">
      <alignment vertical="center"/>
    </xf>
    <xf numFmtId="171" fontId="62" fillId="0" borderId="13" xfId="0" applyNumberFormat="1" applyFont="1" applyBorder="1"/>
    <xf numFmtId="175" fontId="68" fillId="0" borderId="0" xfId="1" applyNumberFormat="1" applyFont="1" applyBorder="1" applyAlignment="1">
      <alignment horizontal="right"/>
    </xf>
    <xf numFmtId="175" fontId="62" fillId="0" borderId="0" xfId="1" applyNumberFormat="1" applyFont="1" applyBorder="1" applyAlignment="1">
      <alignment horizontal="right"/>
    </xf>
    <xf numFmtId="172" fontId="62" fillId="0" borderId="0" xfId="0" applyNumberFormat="1" applyFont="1" applyAlignment="1">
      <alignment horizontal="right"/>
    </xf>
    <xf numFmtId="174" fontId="68" fillId="0" borderId="0" xfId="1" applyNumberFormat="1" applyFont="1" applyBorder="1"/>
    <xf numFmtId="177" fontId="62" fillId="0" borderId="0" xfId="0" applyNumberFormat="1" applyFont="1" applyAlignment="1">
      <alignment horizontal="right"/>
    </xf>
    <xf numFmtId="169" fontId="62" fillId="0" borderId="9" xfId="0" applyNumberFormat="1" applyFont="1" applyBorder="1"/>
    <xf numFmtId="169" fontId="62" fillId="0" borderId="14" xfId="0" applyNumberFormat="1" applyFont="1" applyBorder="1"/>
    <xf numFmtId="0" fontId="56" fillId="4" borderId="0" xfId="7" applyNumberFormat="1" applyFont="1" applyFill="1" applyAlignment="1">
      <alignment horizontal="center" vertical="center"/>
    </xf>
    <xf numFmtId="0" fontId="56" fillId="5" borderId="0" xfId="7" applyNumberFormat="1" applyFont="1" applyFill="1" applyAlignment="1">
      <alignment indent="2"/>
    </xf>
  </cellXfs>
  <cellStyles count="8">
    <cellStyle name="Comma" xfId="6" builtinId="3"/>
    <cellStyle name="Comma 2" xfId="5" xr:uid="{E4921B80-8D66-4D3A-80A8-30D7AC6654E4}"/>
    <cellStyle name="Hyperlink" xfId="7" builtinId="8"/>
    <cellStyle name="Hyperlink 2" xfId="2" xr:uid="{AB6B3A7D-3778-4F12-89C6-854994145915}"/>
    <cellStyle name="Hyperlink 2 2" xfId="3" xr:uid="{68C7A1A0-E6BF-4680-81F4-BC0E6FC46C33}"/>
    <cellStyle name="Normal" xfId="0" builtinId="0"/>
    <cellStyle name="Normal 2 2 2" xfId="4" xr:uid="{78B9DE1D-532C-4950-9B15-A4A33EAE21E4}"/>
    <cellStyle name="Percent" xfId="1" builtinId="5"/>
  </cellStyles>
  <dxfs count="34"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b/>
        <i val="0"/>
        <color theme="0"/>
      </font>
      <fill>
        <patternFill patternType="solid"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fgColor auto="1"/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fgColor auto="1"/>
          <bgColor rgb="FFFA621C"/>
        </patternFill>
      </fill>
    </dxf>
  </dxfs>
  <tableStyles count="0" defaultTableStyle="TableStyleMedium2" defaultPivotStyle="PivotStyleLight16"/>
  <colors>
    <mruColors>
      <color rgb="FFFA621C"/>
      <color rgb="FFC328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22" fmlaLink="$F$6" fmlaRange="$D$14:$D$16" noThreeD="1" sel="3" val="0"/>
</file>

<file path=xl/ctrlProps/ctrlProp2.xml><?xml version="1.0" encoding="utf-8"?>
<formControlPr xmlns="http://schemas.microsoft.com/office/spreadsheetml/2009/9/main" objectType="Drop" dropStyle="combo" dx="22" fmlaLink="$F$6" fmlaRange="$D$58:$D$60" noThreeD="1" sel="3" val="0"/>
</file>

<file path=xl/ctrlProps/ctrlProp3.xml><?xml version="1.0" encoding="utf-8"?>
<formControlPr xmlns="http://schemas.microsoft.com/office/spreadsheetml/2009/9/main" objectType="Drop" dropStyle="combo" dx="22" fmlaLink="Outputs!$F$6" fmlaRange="$B$12:$B$14" noThreeD="1" sel="3" val="0"/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</xdr:row>
          <xdr:rowOff>0</xdr:rowOff>
        </xdr:from>
        <xdr:to>
          <xdr:col>6</xdr:col>
          <xdr:colOff>0</xdr:colOff>
          <xdr:row>6</xdr:row>
          <xdr:rowOff>0</xdr:rowOff>
        </xdr:to>
        <xdr:sp macro="" textlink="">
          <xdr:nvSpPr>
            <xdr:cNvPr id="18433" name="Drop Down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1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49</xdr:row>
          <xdr:rowOff>0</xdr:rowOff>
        </xdr:from>
        <xdr:to>
          <xdr:col>6</xdr:col>
          <xdr:colOff>0</xdr:colOff>
          <xdr:row>50</xdr:row>
          <xdr:rowOff>0</xdr:rowOff>
        </xdr:to>
        <xdr:sp macro="" textlink="">
          <xdr:nvSpPr>
            <xdr:cNvPr id="18435" name="Drop Down 3" hidden="1">
              <a:extLst>
                <a:ext uri="{63B3BB69-23CF-44E3-9099-C40C66FF867C}">
                  <a14:compatExt spid="_x0000_s18435"/>
                </a:ext>
                <a:ext uri="{FF2B5EF4-FFF2-40B4-BE49-F238E27FC236}">
                  <a16:creationId xmlns:a16="http://schemas.microsoft.com/office/drawing/2014/main" id="{00000000-0008-0000-0100-00000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525780</xdr:colOff>
          <xdr:row>6</xdr:row>
          <xdr:rowOff>0</xdr:rowOff>
        </xdr:from>
        <xdr:to>
          <xdr:col>3</xdr:col>
          <xdr:colOff>784860</xdr:colOff>
          <xdr:row>7</xdr:row>
          <xdr:rowOff>0</xdr:rowOff>
        </xdr:to>
        <xdr:sp macro="" textlink="">
          <xdr:nvSpPr>
            <xdr:cNvPr id="4113" name="Drop Down 17" hidden="1">
              <a:extLst>
                <a:ext uri="{63B3BB69-23CF-44E3-9099-C40C66FF867C}">
                  <a14:compatExt spid="_x0000_s4113"/>
                </a:ext>
                <a:ext uri="{FF2B5EF4-FFF2-40B4-BE49-F238E27FC236}">
                  <a16:creationId xmlns:a16="http://schemas.microsoft.com/office/drawing/2014/main" id="{00000000-0008-0000-0200-00001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22E32284-B4C7-4A68-BBD6-D4E21FE25B3D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c87b2de0-63fa-4dff-bd95-bbe2be332210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zaighamali.github.io/zaighamali.github.i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szaighamali.github.io/zaighamali.github.io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2.v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szaighamali.github.io/zaighamali.github.io" TargetMode="External"/><Relationship Id="rId6" Type="http://schemas.openxmlformats.org/officeDocument/2006/relationships/ctrlProp" Target="../ctrlProps/ctrlProp3.xml"/><Relationship Id="rId5" Type="http://schemas.openxmlformats.org/officeDocument/2006/relationships/vmlDrawing" Target="../drawings/vmlDrawing4.v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szaighamali.github.io/zaighamali.github.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D67E82-6292-412E-AEF3-F15FD7891CF9}">
  <sheetPr>
    <pageSetUpPr fitToPage="1"/>
  </sheetPr>
  <dimension ref="A1:N39"/>
  <sheetViews>
    <sheetView showGridLines="0" tabSelected="1" zoomScaleNormal="100" zoomScaleSheetLayoutView="85" workbookViewId="0">
      <selection activeCell="F63" sqref="F63"/>
    </sheetView>
  </sheetViews>
  <sheetFormatPr defaultColWidth="9.109375" defaultRowHeight="19.5" customHeight="1"/>
  <cols>
    <col min="1" max="1" width="4.6640625" style="132" customWidth="1"/>
    <col min="2" max="2" width="4.88671875" style="132" customWidth="1"/>
    <col min="3" max="3" width="36.6640625" style="132" customWidth="1"/>
    <col min="4" max="11" width="10.6640625" style="132" customWidth="1"/>
    <col min="12" max="12" width="26.6640625" style="132" customWidth="1"/>
    <col min="13" max="13" width="10.6640625" style="132" customWidth="1"/>
    <col min="14" max="14" width="4.88671875" style="132" customWidth="1"/>
    <col min="15" max="15" width="9.109375" style="132" customWidth="1"/>
    <col min="16" max="16384" width="9.109375" style="132"/>
  </cols>
  <sheetData>
    <row r="1" spans="1:14" ht="12" customHeight="1">
      <c r="A1" s="479"/>
      <c r="B1" s="479"/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</row>
    <row r="2" spans="1:14" ht="12" customHeight="1">
      <c r="A2" s="479"/>
      <c r="B2" s="479"/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</row>
    <row r="3" spans="1:14" ht="46.05" customHeight="1">
      <c r="A3" s="481" t="s">
        <v>243</v>
      </c>
      <c r="B3" s="480"/>
      <c r="C3" s="480"/>
      <c r="D3" s="480"/>
      <c r="E3" s="480"/>
      <c r="F3" s="480"/>
      <c r="G3" s="480"/>
      <c r="H3" s="480"/>
      <c r="I3" s="480"/>
      <c r="J3" s="480"/>
      <c r="K3" s="480"/>
      <c r="L3" s="480"/>
      <c r="M3" s="480"/>
      <c r="N3" s="480"/>
    </row>
    <row r="4" spans="1:14" ht="6" customHeight="1">
      <c r="A4" s="479"/>
      <c r="B4" s="479"/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</row>
    <row r="5" spans="1:14" ht="28.05" customHeight="1">
      <c r="A5" s="482" t="s">
        <v>244</v>
      </c>
      <c r="B5" s="480"/>
      <c r="C5" s="480"/>
      <c r="D5" s="480"/>
      <c r="E5" s="480"/>
      <c r="F5" s="480"/>
      <c r="G5" s="480"/>
      <c r="H5" s="480"/>
      <c r="I5" s="480"/>
      <c r="J5" s="480"/>
      <c r="K5" s="480"/>
      <c r="L5" s="480"/>
      <c r="M5" s="480"/>
      <c r="N5" s="480"/>
    </row>
    <row r="6" spans="1:14" ht="6" customHeight="1">
      <c r="A6" s="479"/>
      <c r="B6" s="479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</row>
    <row r="7" spans="1:14" ht="30" customHeight="1">
      <c r="A7" s="483" t="s">
        <v>160</v>
      </c>
      <c r="B7" s="480"/>
      <c r="C7" s="480"/>
      <c r="D7" s="480"/>
      <c r="E7" s="480"/>
      <c r="F7" s="480"/>
      <c r="G7" s="480"/>
      <c r="H7" s="480"/>
      <c r="I7" s="480"/>
      <c r="J7" s="480"/>
      <c r="K7" s="480"/>
      <c r="L7" s="480"/>
      <c r="M7" s="480"/>
      <c r="N7" s="480"/>
    </row>
    <row r="8" spans="1:14" ht="7.95" customHeight="1">
      <c r="A8" s="479"/>
      <c r="B8" s="479"/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79"/>
    </row>
    <row r="9" spans="1:14" ht="7.95" customHeight="1">
      <c r="A9" s="479"/>
      <c r="B9" s="479"/>
      <c r="C9" s="479"/>
      <c r="D9" s="479"/>
      <c r="E9" s="479"/>
      <c r="F9" s="479"/>
      <c r="G9" s="479"/>
      <c r="H9" s="479"/>
      <c r="I9" s="479"/>
      <c r="J9" s="479"/>
      <c r="K9" s="479"/>
      <c r="L9" s="479"/>
      <c r="M9" s="479"/>
      <c r="N9" s="479"/>
    </row>
    <row r="10" spans="1:14" ht="19.5" customHeight="1">
      <c r="A10" s="99"/>
      <c r="B10" s="99"/>
      <c r="C10" s="99"/>
      <c r="D10" s="99"/>
      <c r="E10" s="99"/>
      <c r="F10" s="99"/>
      <c r="G10" s="99"/>
      <c r="H10" s="99"/>
      <c r="I10" s="99"/>
      <c r="J10" s="99"/>
      <c r="K10" s="99"/>
      <c r="L10" s="99"/>
      <c r="M10" s="99"/>
      <c r="N10" s="99"/>
    </row>
    <row r="11" spans="1:14" ht="28.5" customHeight="1">
      <c r="A11" s="99"/>
      <c r="B11" s="99"/>
      <c r="C11" s="99"/>
      <c r="D11" s="99"/>
      <c r="E11" s="99"/>
      <c r="F11" s="99"/>
      <c r="G11" s="99"/>
      <c r="H11" s="99"/>
      <c r="I11" s="99"/>
      <c r="J11" s="99"/>
      <c r="K11" s="99"/>
      <c r="L11" s="99"/>
      <c r="M11" s="99"/>
      <c r="N11" s="99"/>
    </row>
    <row r="12" spans="1:14" ht="19.5" customHeight="1">
      <c r="A12" s="99"/>
      <c r="B12" s="99"/>
      <c r="C12" s="99"/>
      <c r="D12" s="99"/>
      <c r="E12" s="99"/>
      <c r="F12" s="99"/>
      <c r="G12" s="99"/>
      <c r="H12" s="99"/>
      <c r="I12" s="99"/>
      <c r="J12" s="99"/>
      <c r="K12" s="99"/>
      <c r="L12" s="99"/>
      <c r="M12" s="99"/>
      <c r="N12" s="99"/>
    </row>
    <row r="13" spans="1:14" ht="19.5" customHeight="1">
      <c r="A13" s="99"/>
      <c r="B13" s="99"/>
      <c r="C13" s="484" t="s">
        <v>0</v>
      </c>
      <c r="D13" s="480"/>
      <c r="E13" s="480"/>
      <c r="F13" s="480"/>
      <c r="G13" s="480"/>
      <c r="H13" s="480"/>
      <c r="I13" s="480"/>
      <c r="J13" s="480"/>
      <c r="K13" s="480"/>
      <c r="L13" s="480"/>
      <c r="M13" s="99"/>
      <c r="N13" s="99"/>
    </row>
    <row r="14" spans="1:14" ht="19.5" customHeight="1">
      <c r="A14" s="99"/>
      <c r="B14" s="99"/>
      <c r="C14" s="99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</row>
    <row r="15" spans="1:14" ht="19.5" customHeight="1">
      <c r="A15" s="99"/>
      <c r="B15" s="99"/>
      <c r="C15" s="592" t="s">
        <v>171</v>
      </c>
      <c r="D15" s="480"/>
      <c r="E15" s="480"/>
      <c r="F15" s="480"/>
      <c r="G15" s="480"/>
      <c r="H15" s="480"/>
      <c r="I15" s="480"/>
      <c r="J15" s="480"/>
      <c r="K15" s="480"/>
      <c r="L15" s="480"/>
      <c r="M15" s="99"/>
      <c r="N15" s="99"/>
    </row>
    <row r="16" spans="1:14" ht="19.5" customHeight="1">
      <c r="A16" s="99"/>
      <c r="B16" s="99"/>
      <c r="C16" s="592" t="s">
        <v>172</v>
      </c>
      <c r="D16" s="480"/>
      <c r="E16" s="480"/>
      <c r="F16" s="480"/>
      <c r="G16" s="480"/>
      <c r="H16" s="480"/>
      <c r="I16" s="480"/>
      <c r="J16" s="480"/>
      <c r="K16" s="480"/>
      <c r="L16" s="480"/>
      <c r="M16" s="99"/>
      <c r="N16" s="99"/>
    </row>
    <row r="17" spans="1:14" ht="19.5" customHeight="1">
      <c r="A17" s="99"/>
      <c r="B17" s="99"/>
      <c r="C17" s="592" t="s">
        <v>1</v>
      </c>
      <c r="D17" s="480"/>
      <c r="E17" s="480"/>
      <c r="F17" s="480"/>
      <c r="G17" s="480"/>
      <c r="H17" s="480"/>
      <c r="I17" s="480"/>
      <c r="J17" s="480"/>
      <c r="K17" s="480"/>
      <c r="L17" s="480"/>
      <c r="M17" s="99"/>
      <c r="N17" s="99"/>
    </row>
    <row r="18" spans="1:14" ht="19.5" customHeight="1">
      <c r="A18" s="99"/>
      <c r="B18" s="99"/>
      <c r="C18" s="99"/>
      <c r="D18" s="99"/>
      <c r="E18" s="99"/>
      <c r="F18" s="99"/>
      <c r="G18" s="99"/>
      <c r="H18" s="99"/>
      <c r="I18" s="99"/>
      <c r="J18" s="99"/>
      <c r="K18" s="99"/>
      <c r="L18" s="99"/>
      <c r="M18" s="99"/>
      <c r="N18" s="99"/>
    </row>
    <row r="19" spans="1:14" ht="19.5" customHeight="1">
      <c r="A19" s="99"/>
      <c r="B19" s="99"/>
      <c r="C19" s="99"/>
      <c r="D19" s="99"/>
      <c r="E19" s="99"/>
      <c r="F19" s="99"/>
      <c r="G19" s="99"/>
      <c r="H19" s="99"/>
      <c r="I19" s="99"/>
      <c r="J19" s="99"/>
      <c r="K19" s="99"/>
      <c r="L19" s="99"/>
      <c r="M19" s="99"/>
      <c r="N19" s="99"/>
    </row>
    <row r="20" spans="1:14" ht="19.5" customHeight="1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</row>
    <row r="21" spans="1:14" ht="19.5" customHeight="1">
      <c r="A21" s="99"/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</row>
    <row r="22" spans="1:14" ht="19.5" customHeight="1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</row>
    <row r="23" spans="1:14" ht="19.5" customHeight="1">
      <c r="A23" s="99"/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</row>
    <row r="24" spans="1:14" ht="19.5" customHeight="1">
      <c r="A24" s="99"/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</row>
    <row r="25" spans="1:14" ht="19.5" customHeight="1">
      <c r="A25" s="99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</row>
    <row r="26" spans="1:14" ht="19.5" customHeight="1">
      <c r="A26" s="99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</row>
    <row r="27" spans="1:14" ht="19.5" customHeight="1">
      <c r="A27" s="99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</row>
    <row r="28" spans="1:14" ht="19.5" customHeight="1">
      <c r="A28" s="99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</row>
    <row r="29" spans="1:14" ht="19.5" customHeight="1">
      <c r="A29" s="99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</row>
    <row r="30" spans="1:14" ht="7.95" customHeight="1">
      <c r="A30" s="479"/>
      <c r="B30" s="479"/>
      <c r="C30" s="479"/>
      <c r="D30" s="479"/>
      <c r="E30" s="479"/>
      <c r="F30" s="479"/>
      <c r="G30" s="479"/>
      <c r="H30" s="479"/>
      <c r="I30" s="479"/>
      <c r="J30" s="479"/>
      <c r="K30" s="479"/>
      <c r="L30" s="479"/>
      <c r="M30" s="479"/>
      <c r="N30" s="479"/>
    </row>
    <row r="31" spans="1:14" ht="19.5" customHeight="1">
      <c r="A31" s="485" t="s">
        <v>245</v>
      </c>
      <c r="B31" s="480"/>
      <c r="C31" s="480"/>
      <c r="D31" s="480"/>
      <c r="E31" s="480"/>
      <c r="F31" s="480"/>
      <c r="G31" s="480"/>
      <c r="H31" s="480"/>
      <c r="I31" s="480"/>
      <c r="J31" s="480"/>
      <c r="K31" s="480"/>
      <c r="L31" s="480"/>
      <c r="M31" s="480"/>
      <c r="N31" s="480"/>
    </row>
    <row r="32" spans="1:14" ht="19.5" customHeight="1">
      <c r="A32" s="479"/>
      <c r="B32" s="479"/>
      <c r="C32" s="479"/>
      <c r="D32" s="479"/>
      <c r="E32" s="479"/>
      <c r="F32" s="479"/>
      <c r="G32" s="479"/>
      <c r="H32" s="479"/>
      <c r="I32" s="479"/>
      <c r="J32" s="479"/>
      <c r="K32" s="479"/>
      <c r="L32" s="479"/>
      <c r="M32" s="479"/>
      <c r="N32" s="479"/>
    </row>
    <row r="33" spans="1:14" ht="19.5" customHeight="1">
      <c r="A33" s="486" t="s">
        <v>246</v>
      </c>
      <c r="B33" s="480"/>
      <c r="C33" s="480"/>
      <c r="D33" s="480"/>
      <c r="E33" s="480"/>
      <c r="F33" s="480"/>
      <c r="G33" s="480"/>
      <c r="H33" s="480"/>
      <c r="I33" s="480"/>
      <c r="J33" s="480"/>
      <c r="K33" s="480"/>
      <c r="L33" s="480"/>
      <c r="M33" s="480"/>
      <c r="N33" s="480"/>
    </row>
    <row r="34" spans="1:14" ht="19.5" customHeight="1">
      <c r="A34" s="480"/>
      <c r="B34" s="480"/>
      <c r="C34" s="480"/>
      <c r="D34" s="480"/>
      <c r="E34" s="480"/>
      <c r="F34" s="480"/>
      <c r="G34" s="480"/>
      <c r="H34" s="480"/>
      <c r="I34" s="480"/>
      <c r="J34" s="480"/>
      <c r="K34" s="480"/>
      <c r="L34" s="480"/>
      <c r="M34" s="480"/>
      <c r="N34" s="480"/>
    </row>
    <row r="35" spans="1:14" ht="19.5" customHeight="1">
      <c r="A35" s="479"/>
      <c r="B35" s="479"/>
      <c r="C35" s="479"/>
      <c r="D35" s="479"/>
      <c r="E35" s="479"/>
      <c r="F35" s="479"/>
      <c r="G35" s="479"/>
      <c r="H35" s="479"/>
      <c r="I35" s="479"/>
      <c r="J35" s="479"/>
      <c r="K35" s="479"/>
      <c r="L35" s="479"/>
      <c r="M35" s="479"/>
      <c r="N35" s="479"/>
    </row>
    <row r="36" spans="1:14" ht="19.5" customHeight="1">
      <c r="A36" s="479"/>
      <c r="B36" s="479"/>
      <c r="C36" s="479"/>
      <c r="D36" s="479"/>
      <c r="E36" s="479"/>
      <c r="F36" s="479"/>
      <c r="G36" s="479"/>
      <c r="H36" s="479"/>
      <c r="I36" s="479"/>
      <c r="J36" s="479"/>
      <c r="K36" s="479"/>
      <c r="L36" s="479"/>
      <c r="M36" s="479"/>
      <c r="N36" s="479"/>
    </row>
    <row r="37" spans="1:14" ht="19.5" customHeight="1">
      <c r="A37" s="99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</row>
    <row r="38" spans="1:14" ht="25.95" customHeight="1">
      <c r="A38" s="591" t="s">
        <v>247</v>
      </c>
      <c r="B38" s="480"/>
      <c r="C38" s="480"/>
      <c r="D38" s="480"/>
      <c r="E38" s="480"/>
      <c r="F38" s="480"/>
      <c r="G38" s="480"/>
      <c r="H38" s="480"/>
      <c r="I38" s="480"/>
      <c r="J38" s="480"/>
      <c r="K38" s="480"/>
      <c r="L38" s="480"/>
      <c r="M38" s="480"/>
      <c r="N38" s="480"/>
    </row>
    <row r="39" spans="1:14" ht="7.95" customHeight="1">
      <c r="A39" s="478"/>
      <c r="B39" s="478"/>
      <c r="C39" s="478"/>
      <c r="D39" s="478"/>
      <c r="E39" s="478"/>
      <c r="F39" s="478"/>
      <c r="G39" s="478"/>
      <c r="H39" s="478"/>
      <c r="I39" s="478"/>
      <c r="J39" s="478"/>
      <c r="K39" s="478"/>
      <c r="L39" s="478"/>
      <c r="M39" s="478"/>
      <c r="N39" s="478"/>
    </row>
  </sheetData>
  <mergeCells count="10">
    <mergeCell ref="C17:L17"/>
    <mergeCell ref="A31:N31"/>
    <mergeCell ref="A33:N34"/>
    <mergeCell ref="A38:N38"/>
    <mergeCell ref="A3:N3"/>
    <mergeCell ref="A5:N5"/>
    <mergeCell ref="A7:N7"/>
    <mergeCell ref="C13:L13"/>
    <mergeCell ref="C15:L15"/>
    <mergeCell ref="C16:L16"/>
  </mergeCells>
  <hyperlinks>
    <hyperlink ref="C15" location="Outputs!A1" tooltip="Go to Outputs" display="Outputs" xr:uid="{7FDB3402-99DE-4543-BC55-3E1308363C1C}"/>
    <hyperlink ref="C16" location="Inputs!A1" tooltip="Go to Inputs" display="Inputs" xr:uid="{ABD24541-E52D-4DB9-B8AE-D3CF72DF42A0}"/>
    <hyperlink ref="C17" location="Model!A1" tooltip="Go to Model" display="Model" xr:uid="{E7B90FFC-1FF9-4131-BA17-094043022E70}"/>
    <hyperlink ref="A38" r:id="rId1" tooltip="Visit Zaigham Ali — Financial Modeling &amp; Analysis" xr:uid="{45194E05-FA49-46F1-B854-7E503EE07B89}"/>
  </hyperlinks>
  <printOptions horizontalCentered="1" verticalCentered="1"/>
  <pageMargins left="0.31496062992125984" right="0.31496062992125984" top="0.31496062992125984" bottom="0.31496062992125984" header="0.31496062992125984" footer="0.31496062992125984"/>
  <pageSetup scale="77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2834F-EFB3-4ABF-888A-163B1D640914}">
  <sheetPr>
    <pageSetUpPr autoPageBreaks="0"/>
  </sheetPr>
  <dimension ref="A1:R92"/>
  <sheetViews>
    <sheetView showGridLines="0" zoomScaleNormal="100" zoomScaleSheetLayoutView="95" workbookViewId="0">
      <pane ySplit="1" topLeftCell="A2" activePane="bottomLeft" state="frozen"/>
      <selection activeCell="A3" sqref="A3"/>
      <selection pane="bottomLeft" activeCell="F63" sqref="F63"/>
    </sheetView>
  </sheetViews>
  <sheetFormatPr defaultColWidth="9.109375" defaultRowHeight="15.6" outlineLevelRow="1"/>
  <cols>
    <col min="1" max="1" width="9.109375" style="99"/>
    <col min="2" max="2" width="2.6640625" style="99" customWidth="1"/>
    <col min="3" max="3" width="8" style="99" customWidth="1"/>
    <col min="4" max="8" width="11.6640625" style="99" customWidth="1"/>
    <col min="9" max="9" width="6.6640625" style="99" customWidth="1"/>
    <col min="10" max="10" width="2.6640625" style="99" customWidth="1"/>
    <col min="11" max="11" width="8" style="99" customWidth="1"/>
    <col min="12" max="16" width="11.6640625" style="99" customWidth="1"/>
    <col min="17" max="17" width="3.6640625" style="99" customWidth="1"/>
    <col min="18" max="16384" width="9.109375" style="99"/>
  </cols>
  <sheetData>
    <row r="1" spans="1:18" ht="24" customHeight="1">
      <c r="A1" s="487" t="s">
        <v>248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  <c r="O1" s="480"/>
      <c r="P1" s="480"/>
      <c r="Q1" s="142"/>
      <c r="R1" s="11"/>
    </row>
    <row r="2" spans="1:18" ht="15" customHeight="1">
      <c r="A2" s="488"/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</row>
    <row r="3" spans="1:18" ht="15" customHeight="1">
      <c r="A3" s="496" t="s">
        <v>151</v>
      </c>
      <c r="B3" s="492" t="s">
        <v>240</v>
      </c>
      <c r="C3" s="493"/>
      <c r="D3" s="493"/>
      <c r="E3" s="494"/>
      <c r="F3" s="494"/>
      <c r="G3" s="495"/>
      <c r="H3" s="495"/>
      <c r="I3" s="495"/>
      <c r="J3" s="495"/>
      <c r="K3" s="495"/>
      <c r="L3" s="495"/>
      <c r="M3" s="495"/>
      <c r="N3" s="495"/>
      <c r="O3" s="495"/>
      <c r="P3" s="495"/>
      <c r="Q3" s="96"/>
      <c r="R3" s="8"/>
    </row>
    <row r="4" spans="1:18" ht="15" customHeight="1" outlineLevel="1">
      <c r="A4" s="135"/>
      <c r="B4" s="9"/>
      <c r="C4" s="6"/>
      <c r="D4" s="6"/>
      <c r="E4" s="7"/>
      <c r="F4" s="7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18" ht="15" customHeight="1" outlineLevel="1">
      <c r="A5" s="1"/>
      <c r="F5" s="10"/>
      <c r="G5" s="502"/>
      <c r="H5" s="10"/>
      <c r="I5" s="10"/>
      <c r="J5" s="37"/>
      <c r="K5" s="37"/>
      <c r="L5" s="311"/>
      <c r="M5" s="311"/>
      <c r="N5" s="311"/>
      <c r="O5" s="311"/>
    </row>
    <row r="6" spans="1:18" ht="15" customHeight="1" outlineLevel="1">
      <c r="D6" s="311" t="s">
        <v>159</v>
      </c>
      <c r="F6" s="503">
        <v>3</v>
      </c>
      <c r="L6" s="234" t="s">
        <v>22</v>
      </c>
      <c r="M6" s="134"/>
      <c r="N6" s="134"/>
      <c r="O6" s="134"/>
    </row>
    <row r="7" spans="1:18" ht="15" customHeight="1" outlineLevel="1"/>
    <row r="8" spans="1:18" ht="15" customHeight="1" outlineLevel="1"/>
    <row r="9" spans="1:18" ht="15" customHeight="1" outlineLevel="1">
      <c r="D9" s="137" t="s">
        <v>251</v>
      </c>
      <c r="E9" s="134"/>
      <c r="F9" s="134"/>
      <c r="G9" s="134"/>
      <c r="H9" s="134"/>
      <c r="L9" s="137" t="s">
        <v>180</v>
      </c>
      <c r="M9" s="134"/>
      <c r="N9" s="134"/>
      <c r="O9" s="134"/>
    </row>
    <row r="10" spans="1:18" s="11" customFormat="1" ht="15" customHeight="1" outlineLevel="1">
      <c r="D10" s="328"/>
      <c r="E10" s="328"/>
      <c r="F10" s="328"/>
      <c r="G10" s="328"/>
      <c r="H10" s="328"/>
      <c r="I10" s="10"/>
      <c r="J10" s="5"/>
      <c r="K10" s="5"/>
      <c r="L10" s="203"/>
      <c r="M10" s="203"/>
      <c r="N10" s="203"/>
      <c r="O10" s="203"/>
    </row>
    <row r="11" spans="1:18" ht="15" customHeight="1" outlineLevel="1">
      <c r="A11" s="5"/>
      <c r="D11" s="342"/>
      <c r="E11" s="11"/>
      <c r="F11" s="341" t="s">
        <v>152</v>
      </c>
      <c r="G11" s="341" t="s">
        <v>100</v>
      </c>
      <c r="H11" s="341" t="s">
        <v>100</v>
      </c>
      <c r="I11" s="27"/>
      <c r="J11" s="27"/>
      <c r="K11" s="27"/>
    </row>
    <row r="12" spans="1:18" ht="15" customHeight="1" outlineLevel="1">
      <c r="A12" s="5"/>
      <c r="D12" s="11"/>
      <c r="E12" s="11"/>
      <c r="F12" s="341" t="s">
        <v>153</v>
      </c>
      <c r="G12" s="341" t="s">
        <v>153</v>
      </c>
      <c r="H12" s="341" t="s">
        <v>158</v>
      </c>
      <c r="I12" s="27"/>
      <c r="J12" s="27"/>
      <c r="K12" s="27"/>
      <c r="L12" s="311" t="s">
        <v>90</v>
      </c>
      <c r="M12" s="311"/>
      <c r="N12" s="139"/>
      <c r="O12" s="136">
        <f>Inputs!$F$107</f>
        <v>0.02</v>
      </c>
    </row>
    <row r="13" spans="1:18" ht="15" customHeight="1" outlineLevel="1">
      <c r="A13" s="5"/>
      <c r="F13" s="415">
        <f>Model!$H$399</f>
        <v>102223.16862027517</v>
      </c>
      <c r="G13" s="217"/>
      <c r="H13" s="217"/>
      <c r="I13" s="27"/>
      <c r="J13" s="27"/>
      <c r="K13" s="27"/>
      <c r="L13" s="311" t="s">
        <v>96</v>
      </c>
      <c r="N13" s="139"/>
      <c r="O13" s="136">
        <f>Inputs!$L$84</f>
        <v>9.7429919540151538E-2</v>
      </c>
      <c r="P13" s="313"/>
    </row>
    <row r="14" spans="1:18" ht="15" customHeight="1" outlineLevel="1">
      <c r="A14" s="5"/>
      <c r="B14" s="9"/>
      <c r="D14" s="504" t="s">
        <v>163</v>
      </c>
      <c r="E14" s="416">
        <v>1</v>
      </c>
      <c r="F14" s="417">
        <f t="dataTable" ref="F14:F16" dt2D="0" dtr="0" r1="F6" ca="1"/>
        <v>177723.58579163335</v>
      </c>
      <c r="G14" s="355">
        <f>F14-$O$14</f>
        <v>159081.58579163335</v>
      </c>
      <c r="H14" s="356">
        <f>G14/$O$15</f>
        <v>4.6515083564805071</v>
      </c>
      <c r="I14" s="189"/>
      <c r="J14" s="329"/>
      <c r="K14" s="329"/>
      <c r="L14" s="311" t="s">
        <v>119</v>
      </c>
      <c r="N14" s="151" t="str">
        <f>CONCATENATE("(End of ",Model!$H$5,")")</f>
        <v>(End of 2022)</v>
      </c>
      <c r="O14" s="245">
        <f>Inputs!$L$94</f>
        <v>18642</v>
      </c>
      <c r="P14" s="313"/>
    </row>
    <row r="15" spans="1:18" ht="15" customHeight="1" outlineLevel="1">
      <c r="A15" s="5"/>
      <c r="B15" s="9"/>
      <c r="D15" s="504" t="s">
        <v>164</v>
      </c>
      <c r="E15" s="416">
        <v>2</v>
      </c>
      <c r="F15" s="418">
        <v>128312.63634373384</v>
      </c>
      <c r="G15" s="357">
        <f>F15-$O$14</f>
        <v>109670.63634373384</v>
      </c>
      <c r="H15" s="358">
        <f>G15/$O$15</f>
        <v>3.2067437527407558</v>
      </c>
      <c r="I15" s="189"/>
      <c r="J15" s="329"/>
      <c r="K15" s="329"/>
      <c r="L15" s="311" t="s">
        <v>121</v>
      </c>
      <c r="M15" s="311"/>
      <c r="N15" s="151" t="s">
        <v>156</v>
      </c>
      <c r="O15" s="245">
        <f>Inputs!$F$105</f>
        <v>34200</v>
      </c>
      <c r="P15" s="313"/>
      <c r="Q15" s="39"/>
    </row>
    <row r="16" spans="1:18" s="11" customFormat="1" ht="15" customHeight="1" outlineLevel="1">
      <c r="B16" s="14"/>
      <c r="D16" s="504" t="s">
        <v>165</v>
      </c>
      <c r="E16" s="416">
        <v>3</v>
      </c>
      <c r="F16" s="419">
        <v>102223.16862027517</v>
      </c>
      <c r="G16" s="359">
        <f>F16-$O$14</f>
        <v>83581.168620275173</v>
      </c>
      <c r="H16" s="360">
        <f>G16/$O$15</f>
        <v>2.4438938193062918</v>
      </c>
      <c r="I16" s="330"/>
      <c r="J16" s="330"/>
      <c r="L16" s="124" t="s">
        <v>154</v>
      </c>
      <c r="M16" s="19"/>
      <c r="N16" s="153" t="s">
        <v>157</v>
      </c>
      <c r="O16" s="335">
        <f>Inputs!$F$106</f>
        <v>2.23</v>
      </c>
      <c r="P16" s="313"/>
    </row>
    <row r="17" spans="2:17" s="11" customFormat="1" ht="15" customHeight="1" outlineLevel="1">
      <c r="B17" s="12"/>
      <c r="E17" s="99"/>
      <c r="F17" s="99"/>
      <c r="G17" s="99"/>
      <c r="H17" s="99"/>
      <c r="I17" s="330"/>
      <c r="J17" s="330"/>
      <c r="L17" s="311"/>
      <c r="M17" s="99"/>
      <c r="N17" s="99"/>
      <c r="O17" s="139"/>
      <c r="P17" s="133"/>
      <c r="Q17" s="39"/>
    </row>
    <row r="18" spans="2:17" ht="15" customHeight="1" outlineLevel="1"/>
    <row r="19" spans="2:17" ht="15" customHeight="1" outlineLevel="1"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04"/>
      <c r="O19" s="204"/>
      <c r="P19" s="204"/>
    </row>
    <row r="20" spans="2:17" ht="15" customHeight="1" outlineLevel="1">
      <c r="D20" s="138" t="s">
        <v>252</v>
      </c>
      <c r="E20" s="134"/>
      <c r="F20" s="134"/>
      <c r="G20" s="134"/>
      <c r="H20" s="134"/>
      <c r="K20" s="204"/>
      <c r="L20" s="230" t="s">
        <v>120</v>
      </c>
      <c r="M20" s="231"/>
      <c r="N20" s="231"/>
      <c r="O20" s="231"/>
      <c r="P20" s="231"/>
    </row>
    <row r="21" spans="2:17" ht="15" customHeight="1" outlineLevel="1">
      <c r="D21" s="203"/>
      <c r="E21" s="203"/>
      <c r="F21" s="203"/>
      <c r="G21" s="203"/>
      <c r="H21" s="203"/>
      <c r="K21" s="204"/>
      <c r="L21" s="331"/>
      <c r="M21" s="331"/>
      <c r="N21" s="331"/>
      <c r="O21" s="331"/>
      <c r="P21" s="331"/>
    </row>
    <row r="22" spans="2:17" s="332" customFormat="1" ht="15" customHeight="1" outlineLevel="1">
      <c r="C22" s="413"/>
      <c r="D22" s="312" t="s">
        <v>90</v>
      </c>
      <c r="E22" s="134"/>
      <c r="F22" s="134"/>
      <c r="G22" s="134"/>
      <c r="H22" s="134"/>
      <c r="J22" s="99"/>
      <c r="K22" s="333"/>
      <c r="L22" s="232" t="s">
        <v>90</v>
      </c>
      <c r="M22" s="231"/>
      <c r="N22" s="231"/>
      <c r="O22" s="231"/>
      <c r="P22" s="231"/>
      <c r="Q22" s="99"/>
    </row>
    <row r="23" spans="2:17" ht="15" customHeight="1" outlineLevel="1">
      <c r="C23" s="414">
        <f>Model!$H$399</f>
        <v>102223.16862027517</v>
      </c>
      <c r="D23" s="140">
        <f>E23-0.005</f>
        <v>9.9999999999999985E-3</v>
      </c>
      <c r="E23" s="140">
        <f>F23-0.005</f>
        <v>1.4999999999999999E-2</v>
      </c>
      <c r="F23" s="140">
        <f>Inputs!$F$107</f>
        <v>0.02</v>
      </c>
      <c r="G23" s="140">
        <f>F23+0.005</f>
        <v>2.5000000000000001E-2</v>
      </c>
      <c r="H23" s="140">
        <f>G23+0.005</f>
        <v>3.0000000000000002E-2</v>
      </c>
      <c r="I23" s="204"/>
      <c r="K23" s="233"/>
      <c r="L23" s="140">
        <f>D23</f>
        <v>9.9999999999999985E-3</v>
      </c>
      <c r="M23" s="140">
        <f>E23</f>
        <v>1.4999999999999999E-2</v>
      </c>
      <c r="N23" s="140">
        <f>F23</f>
        <v>0.02</v>
      </c>
      <c r="O23" s="140">
        <f>G23</f>
        <v>2.5000000000000001E-2</v>
      </c>
      <c r="P23" s="140">
        <f>H23</f>
        <v>3.0000000000000002E-2</v>
      </c>
    </row>
    <row r="24" spans="2:17" ht="15" customHeight="1" outlineLevel="1">
      <c r="B24" s="476" t="s">
        <v>96</v>
      </c>
      <c r="C24" s="140">
        <f>C25-0.01</f>
        <v>7.7429919540151548E-2</v>
      </c>
      <c r="D24" s="381">
        <f t="dataTable" ref="D24:H28" dt2D="1" dtr="1" r1="O12" r2="O13" ca="1"/>
        <v>118966.92011717916</v>
      </c>
      <c r="E24" s="382">
        <v>125285.8149495541</v>
      </c>
      <c r="F24" s="382">
        <v>132704.9890236503</v>
      </c>
      <c r="G24" s="382">
        <v>141539.22803379205</v>
      </c>
      <c r="H24" s="383">
        <v>152236.05485681497</v>
      </c>
      <c r="I24" s="204"/>
      <c r="J24" s="476" t="s">
        <v>96</v>
      </c>
      <c r="K24" s="140">
        <f>C24</f>
        <v>7.7429919540151548E-2</v>
      </c>
      <c r="L24" s="371">
        <f>D37/$O$15</f>
        <v>2.9334771964087474</v>
      </c>
      <c r="M24" s="372">
        <f t="shared" ref="L24:P28" si="0">E37/$O$15</f>
        <v>3.1182402032033361</v>
      </c>
      <c r="N24" s="372">
        <f t="shared" si="0"/>
        <v>3.3351751176505937</v>
      </c>
      <c r="O24" s="372">
        <f t="shared" si="0"/>
        <v>3.5934861998184813</v>
      </c>
      <c r="P24" s="373">
        <f t="shared" si="0"/>
        <v>3.9062589139419583</v>
      </c>
    </row>
    <row r="25" spans="2:17" ht="15" customHeight="1" outlineLevel="1">
      <c r="B25" s="476"/>
      <c r="C25" s="140">
        <f>C26-0.01</f>
        <v>8.7429919540151543E-2</v>
      </c>
      <c r="D25" s="384">
        <v>105425.55742468953</v>
      </c>
      <c r="E25" s="385">
        <v>109985.92071511458</v>
      </c>
      <c r="F25" s="385">
        <v>115222.59554817904</v>
      </c>
      <c r="G25" s="385">
        <v>121298.07889992122</v>
      </c>
      <c r="H25" s="386">
        <v>128431.45740464106</v>
      </c>
      <c r="I25" s="204"/>
      <c r="J25" s="476"/>
      <c r="K25" s="140">
        <f t="shared" ref="K25:K28" si="1">C25</f>
        <v>8.7429919540151543E-2</v>
      </c>
      <c r="L25" s="374">
        <f t="shared" si="0"/>
        <v>2.537530918850571</v>
      </c>
      <c r="M25" s="375">
        <f t="shared" si="0"/>
        <v>2.6708748747109525</v>
      </c>
      <c r="N25" s="375">
        <f t="shared" si="0"/>
        <v>2.8239940218765804</v>
      </c>
      <c r="O25" s="375">
        <f t="shared" si="0"/>
        <v>3.0016397339158254</v>
      </c>
      <c r="P25" s="376">
        <f t="shared" si="0"/>
        <v>3.2102180527672823</v>
      </c>
    </row>
    <row r="26" spans="2:17" ht="15" customHeight="1" outlineLevel="1">
      <c r="B26" s="476"/>
      <c r="C26" s="140">
        <f>Inputs!$L$84</f>
        <v>9.7429919540151538E-2</v>
      </c>
      <c r="D26" s="384">
        <v>94955.698764014815</v>
      </c>
      <c r="E26" s="385">
        <v>98369.020100308349</v>
      </c>
      <c r="F26" s="387">
        <v>102223.16862027517</v>
      </c>
      <c r="G26" s="385">
        <v>106609.43819524747</v>
      </c>
      <c r="H26" s="386">
        <v>111646.20084582851</v>
      </c>
      <c r="I26" s="204"/>
      <c r="J26" s="476"/>
      <c r="K26" s="140">
        <f t="shared" si="1"/>
        <v>9.7429919540151538E-2</v>
      </c>
      <c r="L26" s="374">
        <f t="shared" si="0"/>
        <v>2.2313947007021877</v>
      </c>
      <c r="M26" s="375">
        <f t="shared" si="0"/>
        <v>2.331199418137671</v>
      </c>
      <c r="N26" s="377">
        <f t="shared" si="0"/>
        <v>2.4438938193062918</v>
      </c>
      <c r="O26" s="375">
        <f t="shared" si="0"/>
        <v>2.5721473156505108</v>
      </c>
      <c r="P26" s="376">
        <f t="shared" si="0"/>
        <v>2.7194210773634069</v>
      </c>
    </row>
    <row r="27" spans="2:17" ht="15" customHeight="1" outlineLevel="1">
      <c r="B27" s="476"/>
      <c r="C27" s="140">
        <f>C26+0.01</f>
        <v>0.10742991954015153</v>
      </c>
      <c r="D27" s="384">
        <v>86612.500729196763</v>
      </c>
      <c r="E27" s="385">
        <v>89240.749238621211</v>
      </c>
      <c r="F27" s="385">
        <v>92169.609772310156</v>
      </c>
      <c r="G27" s="385">
        <v>95453.785530134686</v>
      </c>
      <c r="H27" s="386">
        <v>99162.109443779205</v>
      </c>
      <c r="I27" s="204"/>
      <c r="J27" s="476"/>
      <c r="K27" s="140">
        <f t="shared" si="1"/>
        <v>0.10742991954015153</v>
      </c>
      <c r="L27" s="374">
        <f t="shared" si="0"/>
        <v>1.9874415417893789</v>
      </c>
      <c r="M27" s="375">
        <f t="shared" si="0"/>
        <v>2.0642909134099767</v>
      </c>
      <c r="N27" s="375">
        <f t="shared" si="0"/>
        <v>2.1499301103014665</v>
      </c>
      <c r="O27" s="375">
        <f t="shared" si="0"/>
        <v>2.2459586412320083</v>
      </c>
      <c r="P27" s="376">
        <f t="shared" si="0"/>
        <v>2.3543891650227837</v>
      </c>
    </row>
    <row r="28" spans="2:17" ht="15" customHeight="1" outlineLevel="1">
      <c r="B28" s="476"/>
      <c r="C28" s="140">
        <f>C27+0.01</f>
        <v>0.11742991954015153</v>
      </c>
      <c r="D28" s="388">
        <v>79802.876328825194</v>
      </c>
      <c r="E28" s="389">
        <v>81873.108530280748</v>
      </c>
      <c r="F28" s="389">
        <v>84155.824967710883</v>
      </c>
      <c r="G28" s="389">
        <v>86685.508669505958</v>
      </c>
      <c r="H28" s="390">
        <v>89504.530816892686</v>
      </c>
      <c r="I28" s="204"/>
      <c r="J28" s="476"/>
      <c r="K28" s="140">
        <f t="shared" si="1"/>
        <v>0.11742991954015153</v>
      </c>
      <c r="L28" s="378">
        <f t="shared" si="0"/>
        <v>1.7883297172171109</v>
      </c>
      <c r="M28" s="379">
        <f t="shared" si="0"/>
        <v>1.848862822522829</v>
      </c>
      <c r="N28" s="379">
        <f t="shared" si="0"/>
        <v>1.9156089171845287</v>
      </c>
      <c r="O28" s="379">
        <f t="shared" si="0"/>
        <v>1.9895762768861391</v>
      </c>
      <c r="P28" s="380">
        <f t="shared" si="0"/>
        <v>2.0720038250553419</v>
      </c>
    </row>
    <row r="29" spans="2:17" ht="15" customHeight="1" outlineLevel="1">
      <c r="C29" s="204"/>
      <c r="D29" s="204"/>
      <c r="E29" s="204"/>
      <c r="F29" s="204"/>
      <c r="G29" s="204"/>
      <c r="H29" s="204"/>
      <c r="I29" s="204"/>
    </row>
    <row r="30" spans="2:17" ht="15" customHeight="1" outlineLevel="1">
      <c r="C30" s="204"/>
      <c r="D30" s="204"/>
      <c r="E30" s="204"/>
      <c r="F30" s="204"/>
      <c r="G30" s="204"/>
      <c r="H30" s="204"/>
      <c r="I30" s="204"/>
      <c r="J30" s="204"/>
      <c r="K30" s="204"/>
      <c r="L30" s="230"/>
      <c r="M30" s="231"/>
      <c r="N30" s="231"/>
      <c r="O30" s="231"/>
      <c r="P30" s="231"/>
    </row>
    <row r="31" spans="2:17" ht="15" customHeight="1" outlineLevel="1">
      <c r="C31" s="204"/>
      <c r="D31" s="204"/>
      <c r="E31" s="204"/>
      <c r="F31" s="204"/>
      <c r="G31" s="204"/>
      <c r="H31" s="204"/>
      <c r="I31" s="204"/>
      <c r="J31" s="204"/>
      <c r="K31" s="204"/>
      <c r="L31" s="204"/>
      <c r="M31" s="204"/>
      <c r="N31" s="204"/>
      <c r="O31" s="204"/>
      <c r="P31" s="204"/>
    </row>
    <row r="32" spans="2:17" ht="15" customHeight="1" outlineLevel="1"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04"/>
      <c r="O32" s="204"/>
      <c r="P32" s="204"/>
    </row>
    <row r="33" spans="1:17" ht="15" customHeight="1" outlineLevel="1">
      <c r="D33" s="138" t="s">
        <v>118</v>
      </c>
      <c r="E33" s="134"/>
      <c r="F33" s="134"/>
      <c r="G33" s="134"/>
      <c r="H33" s="134"/>
      <c r="I33" s="204"/>
      <c r="J33" s="204"/>
      <c r="K33" s="204"/>
      <c r="L33" s="230" t="s">
        <v>155</v>
      </c>
      <c r="M33" s="231"/>
      <c r="N33" s="231"/>
      <c r="O33" s="231"/>
      <c r="P33" s="231"/>
    </row>
    <row r="34" spans="1:17" ht="15" customHeight="1" outlineLevel="1">
      <c r="D34" s="203"/>
      <c r="E34" s="203"/>
      <c r="F34" s="203"/>
      <c r="G34" s="203"/>
      <c r="H34" s="203"/>
      <c r="I34" s="204"/>
      <c r="J34" s="204"/>
      <c r="K34" s="204"/>
      <c r="L34" s="331"/>
      <c r="M34" s="331"/>
      <c r="N34" s="331"/>
      <c r="O34" s="331"/>
      <c r="P34" s="331"/>
    </row>
    <row r="35" spans="1:17" ht="15" customHeight="1" outlineLevel="1">
      <c r="B35" s="332"/>
      <c r="C35" s="332"/>
      <c r="D35" s="312" t="s">
        <v>90</v>
      </c>
      <c r="E35" s="134"/>
      <c r="F35" s="134"/>
      <c r="G35" s="134"/>
      <c r="H35" s="134"/>
      <c r="I35" s="333"/>
      <c r="J35" s="333"/>
      <c r="K35" s="333"/>
      <c r="L35" s="232" t="s">
        <v>90</v>
      </c>
      <c r="M35" s="231"/>
      <c r="N35" s="231"/>
      <c r="O35" s="231"/>
      <c r="P35" s="231"/>
    </row>
    <row r="36" spans="1:17" ht="15" customHeight="1" outlineLevel="1">
      <c r="B36" s="204"/>
      <c r="C36" s="229"/>
      <c r="D36" s="270">
        <f>D23</f>
        <v>9.9999999999999985E-3</v>
      </c>
      <c r="E36" s="270">
        <f>E23</f>
        <v>1.4999999999999999E-2</v>
      </c>
      <c r="F36" s="270">
        <f>F23</f>
        <v>0.02</v>
      </c>
      <c r="G36" s="270">
        <f>G23</f>
        <v>2.5000000000000001E-2</v>
      </c>
      <c r="H36" s="270">
        <f>H23</f>
        <v>3.0000000000000002E-2</v>
      </c>
      <c r="I36" s="204"/>
      <c r="J36" s="204"/>
      <c r="K36" s="229"/>
      <c r="L36" s="140">
        <f>D36</f>
        <v>9.9999999999999985E-3</v>
      </c>
      <c r="M36" s="140">
        <f t="shared" ref="M36:P36" si="2">E36</f>
        <v>1.4999999999999999E-2</v>
      </c>
      <c r="N36" s="140">
        <f t="shared" si="2"/>
        <v>0.02</v>
      </c>
      <c r="O36" s="140">
        <f t="shared" si="2"/>
        <v>2.5000000000000001E-2</v>
      </c>
      <c r="P36" s="140">
        <f t="shared" si="2"/>
        <v>3.0000000000000002E-2</v>
      </c>
    </row>
    <row r="37" spans="1:17" ht="15" customHeight="1" outlineLevel="1">
      <c r="B37" s="477" t="s">
        <v>96</v>
      </c>
      <c r="C37" s="140">
        <f>C24</f>
        <v>7.7429919540151548E-2</v>
      </c>
      <c r="D37" s="384">
        <f>D24-$O$14</f>
        <v>100324.92011717916</v>
      </c>
      <c r="E37" s="420">
        <f t="shared" ref="D37:H41" si="3">E24-$O$14</f>
        <v>106643.8149495541</v>
      </c>
      <c r="F37" s="420">
        <f t="shared" si="3"/>
        <v>114062.9890236503</v>
      </c>
      <c r="G37" s="382">
        <f t="shared" si="3"/>
        <v>122897.22803379205</v>
      </c>
      <c r="H37" s="383">
        <f t="shared" si="3"/>
        <v>133594.05485681497</v>
      </c>
      <c r="I37" s="204"/>
      <c r="J37" s="477" t="s">
        <v>96</v>
      </c>
      <c r="K37" s="140">
        <f>C37</f>
        <v>7.7429919540151548E-2</v>
      </c>
      <c r="L37" s="361">
        <f>L24/$O$16-1</f>
        <v>0.31546062619226345</v>
      </c>
      <c r="M37" s="362">
        <f t="shared" ref="L37:P41" si="4">M24/$O$16-1</f>
        <v>0.39831399246786381</v>
      </c>
      <c r="N37" s="362">
        <f t="shared" si="4"/>
        <v>0.49559422316170121</v>
      </c>
      <c r="O37" s="362">
        <f t="shared" si="4"/>
        <v>0.61142878915626975</v>
      </c>
      <c r="P37" s="363">
        <f t="shared" si="4"/>
        <v>0.75168561163316516</v>
      </c>
    </row>
    <row r="38" spans="1:17" ht="15" customHeight="1" outlineLevel="1">
      <c r="B38" s="477"/>
      <c r="C38" s="140">
        <f t="shared" ref="C38:C41" si="5">C25</f>
        <v>8.7429919540151543E-2</v>
      </c>
      <c r="D38" s="384">
        <f t="shared" si="3"/>
        <v>86783.557424689527</v>
      </c>
      <c r="E38" s="385">
        <f t="shared" si="3"/>
        <v>91343.920715114582</v>
      </c>
      <c r="F38" s="385">
        <f t="shared" si="3"/>
        <v>96580.595548179044</v>
      </c>
      <c r="G38" s="385">
        <f t="shared" si="3"/>
        <v>102656.07889992122</v>
      </c>
      <c r="H38" s="386">
        <f t="shared" si="3"/>
        <v>109789.45740464106</v>
      </c>
      <c r="I38" s="204"/>
      <c r="J38" s="477"/>
      <c r="K38" s="140">
        <f t="shared" ref="K38:K41" si="6">C38</f>
        <v>8.7429919540151543E-2</v>
      </c>
      <c r="L38" s="364">
        <f t="shared" si="4"/>
        <v>0.13790624163702736</v>
      </c>
      <c r="M38" s="365">
        <f t="shared" si="4"/>
        <v>0.1977017375385437</v>
      </c>
      <c r="N38" s="365">
        <f t="shared" si="4"/>
        <v>0.26636503223165042</v>
      </c>
      <c r="O38" s="365">
        <f t="shared" si="4"/>
        <v>0.34602678650933871</v>
      </c>
      <c r="P38" s="366">
        <f t="shared" si="4"/>
        <v>0.43955966491806375</v>
      </c>
    </row>
    <row r="39" spans="1:17" ht="15" customHeight="1" outlineLevel="1">
      <c r="B39" s="477"/>
      <c r="C39" s="140">
        <f t="shared" si="5"/>
        <v>9.7429919540151538E-2</v>
      </c>
      <c r="D39" s="384">
        <f t="shared" si="3"/>
        <v>76313.698764014815</v>
      </c>
      <c r="E39" s="385">
        <f t="shared" si="3"/>
        <v>79727.020100308349</v>
      </c>
      <c r="F39" s="387">
        <f t="shared" si="3"/>
        <v>83581.168620275173</v>
      </c>
      <c r="G39" s="385">
        <f t="shared" si="3"/>
        <v>87967.438195247465</v>
      </c>
      <c r="H39" s="386">
        <f t="shared" si="3"/>
        <v>93004.200845828513</v>
      </c>
      <c r="I39" s="204"/>
      <c r="J39" s="477"/>
      <c r="K39" s="140">
        <f t="shared" si="6"/>
        <v>9.7429919540151538E-2</v>
      </c>
      <c r="L39" s="364">
        <f t="shared" si="4"/>
        <v>6.2542632385098607E-4</v>
      </c>
      <c r="M39" s="365">
        <f t="shared" si="4"/>
        <v>4.5380904994471338E-2</v>
      </c>
      <c r="N39" s="367">
        <f t="shared" si="4"/>
        <v>9.591651089968245E-2</v>
      </c>
      <c r="O39" s="365">
        <f t="shared" si="4"/>
        <v>0.15342928952937696</v>
      </c>
      <c r="P39" s="366">
        <f t="shared" si="4"/>
        <v>0.21947133514054129</v>
      </c>
    </row>
    <row r="40" spans="1:17" ht="15" customHeight="1" outlineLevel="1">
      <c r="B40" s="477"/>
      <c r="C40" s="140">
        <f t="shared" si="5"/>
        <v>0.10742991954015153</v>
      </c>
      <c r="D40" s="384">
        <f t="shared" si="3"/>
        <v>67970.500729196763</v>
      </c>
      <c r="E40" s="385">
        <f t="shared" si="3"/>
        <v>70598.749238621211</v>
      </c>
      <c r="F40" s="385">
        <f t="shared" si="3"/>
        <v>73527.609772310156</v>
      </c>
      <c r="G40" s="385">
        <f t="shared" si="3"/>
        <v>76811.785530134686</v>
      </c>
      <c r="H40" s="386">
        <f t="shared" si="3"/>
        <v>80520.109443779205</v>
      </c>
      <c r="I40" s="204"/>
      <c r="J40" s="477"/>
      <c r="K40" s="140">
        <f t="shared" si="6"/>
        <v>0.10742991954015153</v>
      </c>
      <c r="L40" s="364">
        <f t="shared" si="4"/>
        <v>-0.1087706090630588</v>
      </c>
      <c r="M40" s="365">
        <f t="shared" si="4"/>
        <v>-7.430900743947233E-2</v>
      </c>
      <c r="N40" s="365">
        <f t="shared" si="4"/>
        <v>-3.5905780133871468E-2</v>
      </c>
      <c r="O40" s="365">
        <f t="shared" si="4"/>
        <v>7.1563413596449355E-3</v>
      </c>
      <c r="P40" s="366">
        <f t="shared" si="4"/>
        <v>5.5779894629051086E-2</v>
      </c>
    </row>
    <row r="41" spans="1:17" ht="15" customHeight="1" outlineLevel="1">
      <c r="B41" s="477"/>
      <c r="C41" s="140">
        <f t="shared" si="5"/>
        <v>0.11742991954015153</v>
      </c>
      <c r="D41" s="388">
        <f t="shared" si="3"/>
        <v>61160.876328825194</v>
      </c>
      <c r="E41" s="389">
        <f t="shared" si="3"/>
        <v>63231.108530280748</v>
      </c>
      <c r="F41" s="389">
        <f t="shared" si="3"/>
        <v>65513.824967710883</v>
      </c>
      <c r="G41" s="389">
        <f t="shared" si="3"/>
        <v>68043.508669505958</v>
      </c>
      <c r="H41" s="390">
        <f t="shared" si="3"/>
        <v>70862.530816892686</v>
      </c>
      <c r="I41" s="204"/>
      <c r="J41" s="477"/>
      <c r="K41" s="140">
        <f t="shared" si="6"/>
        <v>0.11742991954015153</v>
      </c>
      <c r="L41" s="368">
        <f t="shared" si="4"/>
        <v>-0.198058422772596</v>
      </c>
      <c r="M41" s="369">
        <f t="shared" si="4"/>
        <v>-0.17091353250097352</v>
      </c>
      <c r="N41" s="369">
        <f t="shared" si="4"/>
        <v>-0.14098254834774493</v>
      </c>
      <c r="O41" s="369">
        <f t="shared" si="4"/>
        <v>-0.10781332875061023</v>
      </c>
      <c r="P41" s="370">
        <f t="shared" si="4"/>
        <v>-7.0850302665765974E-2</v>
      </c>
    </row>
    <row r="42" spans="1:17" ht="15" customHeight="1" outlineLevel="1">
      <c r="B42" s="339"/>
      <c r="C42" s="140"/>
      <c r="D42" s="275"/>
      <c r="E42" s="275"/>
      <c r="F42" s="275"/>
      <c r="G42" s="275"/>
      <c r="H42" s="275"/>
      <c r="I42" s="204"/>
      <c r="J42" s="339"/>
      <c r="K42" s="140"/>
      <c r="L42" s="340"/>
      <c r="M42" s="340"/>
      <c r="N42" s="340"/>
      <c r="O42" s="340"/>
      <c r="P42" s="340"/>
    </row>
    <row r="43" spans="1:17" ht="15" customHeight="1" outlineLevel="1">
      <c r="B43" s="339"/>
      <c r="C43" s="140"/>
      <c r="D43" s="275"/>
      <c r="E43" s="275"/>
      <c r="F43" s="275"/>
      <c r="G43" s="275"/>
      <c r="H43" s="275"/>
      <c r="I43" s="204"/>
      <c r="J43" s="339"/>
      <c r="K43" s="140"/>
      <c r="L43" s="340"/>
      <c r="M43" s="340"/>
      <c r="N43" s="340"/>
      <c r="O43" s="340"/>
      <c r="P43" s="255" t="s">
        <v>232</v>
      </c>
    </row>
    <row r="44" spans="1:17" ht="15" customHeight="1" outlineLevel="1"/>
    <row r="45" spans="1:17" ht="15" customHeight="1" outlineLevel="1"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</row>
    <row r="46" spans="1:17" ht="15" customHeight="1"/>
    <row r="47" spans="1:17" ht="15" customHeight="1">
      <c r="A47" s="99" t="s">
        <v>151</v>
      </c>
      <c r="B47" s="505" t="s">
        <v>220</v>
      </c>
      <c r="C47" s="489"/>
      <c r="D47" s="489"/>
      <c r="E47" s="490"/>
      <c r="F47" s="490"/>
      <c r="G47" s="491"/>
      <c r="H47" s="491"/>
      <c r="I47" s="491"/>
      <c r="J47" s="491"/>
      <c r="K47" s="491"/>
      <c r="L47" s="491"/>
      <c r="M47" s="491"/>
      <c r="N47" s="491"/>
      <c r="O47" s="491"/>
      <c r="P47" s="491"/>
      <c r="Q47" s="96"/>
    </row>
    <row r="48" spans="1:17" ht="15" customHeight="1" outlineLevel="1">
      <c r="B48" s="9"/>
      <c r="C48" s="6"/>
      <c r="D48" s="6"/>
      <c r="E48" s="7"/>
      <c r="F48" s="7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2:17" ht="15" customHeight="1" outlineLevel="1">
      <c r="F49" s="10"/>
      <c r="G49" s="502"/>
      <c r="H49" s="10"/>
      <c r="I49" s="10"/>
      <c r="J49" s="37"/>
      <c r="K49" s="37"/>
      <c r="L49" s="311"/>
      <c r="M49" s="311"/>
      <c r="N49" s="311"/>
      <c r="O49" s="311"/>
    </row>
    <row r="50" spans="2:17" ht="15" customHeight="1" outlineLevel="1">
      <c r="D50" s="311" t="s">
        <v>159</v>
      </c>
      <c r="F50" s="10"/>
      <c r="L50" s="234" t="s">
        <v>22</v>
      </c>
      <c r="M50" s="134"/>
      <c r="N50" s="134"/>
      <c r="O50" s="134"/>
    </row>
    <row r="51" spans="2:17" ht="15" customHeight="1" outlineLevel="1"/>
    <row r="52" spans="2:17" ht="15" customHeight="1" outlineLevel="1"/>
    <row r="53" spans="2:17" ht="15" customHeight="1" outlineLevel="1">
      <c r="D53" s="137" t="s">
        <v>251</v>
      </c>
      <c r="E53" s="134"/>
      <c r="F53" s="134"/>
      <c r="G53" s="134"/>
      <c r="H53" s="134"/>
      <c r="L53" s="137" t="s">
        <v>180</v>
      </c>
      <c r="M53" s="134"/>
      <c r="N53" s="134"/>
      <c r="O53" s="134"/>
    </row>
    <row r="54" spans="2:17" ht="15" customHeight="1" outlineLevel="1">
      <c r="B54" s="11"/>
      <c r="C54" s="11"/>
      <c r="D54" s="328"/>
      <c r="E54" s="328"/>
      <c r="F54" s="328"/>
      <c r="G54" s="328"/>
      <c r="H54" s="328"/>
      <c r="I54" s="10"/>
      <c r="J54" s="5"/>
      <c r="K54" s="5"/>
      <c r="L54" s="203"/>
      <c r="M54" s="203"/>
      <c r="N54" s="203"/>
      <c r="O54" s="203"/>
      <c r="P54" s="11"/>
      <c r="Q54" s="11"/>
    </row>
    <row r="55" spans="2:17" ht="15" customHeight="1" outlineLevel="1">
      <c r="D55" s="11"/>
      <c r="E55" s="11"/>
      <c r="F55" s="341" t="s">
        <v>152</v>
      </c>
      <c r="G55" s="341" t="s">
        <v>100</v>
      </c>
      <c r="H55" s="341" t="s">
        <v>100</v>
      </c>
      <c r="I55" s="27"/>
      <c r="J55" s="27"/>
      <c r="K55" s="27"/>
    </row>
    <row r="56" spans="2:17" ht="15" customHeight="1" outlineLevel="1">
      <c r="D56" s="11"/>
      <c r="E56" s="11"/>
      <c r="F56" s="341" t="s">
        <v>153</v>
      </c>
      <c r="G56" s="341" t="s">
        <v>153</v>
      </c>
      <c r="H56" s="341" t="s">
        <v>158</v>
      </c>
      <c r="I56" s="27"/>
      <c r="J56" s="27"/>
      <c r="K56" s="27"/>
      <c r="L56" s="311" t="s">
        <v>230</v>
      </c>
      <c r="M56" s="311"/>
      <c r="N56" s="139"/>
      <c r="O56" s="276">
        <f>+Inputs!$F$108</f>
        <v>7</v>
      </c>
    </row>
    <row r="57" spans="2:17" ht="15" customHeight="1" outlineLevel="1">
      <c r="F57" s="415">
        <f>Model!$H$446</f>
        <v>110027.32371224451</v>
      </c>
      <c r="G57" s="217"/>
      <c r="H57" s="217"/>
      <c r="I57" s="27"/>
      <c r="J57" s="27"/>
      <c r="K57" s="27"/>
      <c r="L57" s="311" t="s">
        <v>96</v>
      </c>
      <c r="N57" s="139"/>
      <c r="O57" s="136">
        <f>Inputs!$L$84</f>
        <v>9.7429919540151538E-2</v>
      </c>
      <c r="P57" s="313"/>
    </row>
    <row r="58" spans="2:17" ht="15" customHeight="1" outlineLevel="1">
      <c r="B58" s="9"/>
      <c r="D58" s="124" t="str">
        <f>D14</f>
        <v>Best Case</v>
      </c>
      <c r="E58" s="416">
        <v>1</v>
      </c>
      <c r="F58" s="417">
        <f t="dataTable" ref="F58:F60" dt2D="0" dtr="0" r1="F6" ca="1"/>
        <v>167150.91264460367</v>
      </c>
      <c r="G58" s="355">
        <f>F58-$O$58</f>
        <v>148508.91264460367</v>
      </c>
      <c r="H58" s="356">
        <f>+G58/$O$59</f>
        <v>4.342365866801277</v>
      </c>
      <c r="I58" s="189"/>
      <c r="J58" s="329"/>
      <c r="K58" s="329"/>
      <c r="L58" s="311" t="s">
        <v>119</v>
      </c>
      <c r="N58" s="151" t="str">
        <f>N14</f>
        <v>(End of 2022)</v>
      </c>
      <c r="O58" s="352">
        <f>Inputs!$L$94</f>
        <v>18642</v>
      </c>
      <c r="P58" s="313"/>
    </row>
    <row r="59" spans="2:17" ht="15" customHeight="1" outlineLevel="1">
      <c r="B59" s="9"/>
      <c r="D59" s="124" t="str">
        <f>D15</f>
        <v>Base Case</v>
      </c>
      <c r="E59" s="416">
        <v>2</v>
      </c>
      <c r="F59" s="418">
        <v>129227.68313446036</v>
      </c>
      <c r="G59" s="357">
        <f>F59-$O$58</f>
        <v>110585.68313446036</v>
      </c>
      <c r="H59" s="358">
        <f t="shared" ref="H59:H60" si="7">+G59/$O$59</f>
        <v>3.2334995068555661</v>
      </c>
      <c r="I59" s="189"/>
      <c r="J59" s="329"/>
      <c r="K59" s="329"/>
      <c r="L59" s="311" t="s">
        <v>121</v>
      </c>
      <c r="M59" s="311"/>
      <c r="N59" s="151" t="s">
        <v>156</v>
      </c>
      <c r="O59" s="352">
        <f>Inputs!$F$105</f>
        <v>34200</v>
      </c>
      <c r="P59" s="313"/>
      <c r="Q59" s="39"/>
    </row>
    <row r="60" spans="2:17" ht="15" customHeight="1" outlineLevel="1">
      <c r="B60" s="14"/>
      <c r="C60" s="11"/>
      <c r="D60" s="124" t="str">
        <f>D16</f>
        <v>Worst Case</v>
      </c>
      <c r="E60" s="416">
        <v>3</v>
      </c>
      <c r="F60" s="419">
        <v>110027.32371224451</v>
      </c>
      <c r="G60" s="359">
        <f>F60-$O$58</f>
        <v>91385.323712244513</v>
      </c>
      <c r="H60" s="360">
        <f t="shared" si="7"/>
        <v>2.6720854886621201</v>
      </c>
      <c r="I60" s="330"/>
      <c r="J60" s="330"/>
      <c r="K60" s="11"/>
      <c r="L60" s="124" t="s">
        <v>154</v>
      </c>
      <c r="M60" s="19"/>
      <c r="N60" s="153" t="s">
        <v>157</v>
      </c>
      <c r="O60" s="335">
        <f>Inputs!$F$106</f>
        <v>2.23</v>
      </c>
      <c r="P60" s="313"/>
      <c r="Q60" s="11"/>
    </row>
    <row r="61" spans="2:17" ht="15" customHeight="1" outlineLevel="1">
      <c r="B61" s="12"/>
      <c r="C61" s="11"/>
      <c r="D61" s="11"/>
      <c r="I61" s="330"/>
      <c r="J61" s="330"/>
      <c r="K61" s="11"/>
      <c r="L61" s="311"/>
      <c r="O61" s="139"/>
      <c r="P61" s="133"/>
      <c r="Q61" s="39"/>
    </row>
    <row r="62" spans="2:17" ht="15" customHeight="1" outlineLevel="1"/>
    <row r="63" spans="2:17" ht="15" customHeight="1" outlineLevel="1">
      <c r="D63" s="204"/>
      <c r="E63" s="204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</row>
    <row r="64" spans="2:17" ht="15" customHeight="1" outlineLevel="1">
      <c r="D64" s="138" t="s">
        <v>252</v>
      </c>
      <c r="E64" s="134"/>
      <c r="F64" s="134"/>
      <c r="G64" s="134"/>
      <c r="H64" s="134"/>
      <c r="K64" s="204"/>
      <c r="L64" s="230" t="s">
        <v>120</v>
      </c>
      <c r="M64" s="231"/>
      <c r="N64" s="231"/>
      <c r="O64" s="231"/>
      <c r="P64" s="231"/>
      <c r="Q64" s="204"/>
    </row>
    <row r="65" spans="2:17" ht="15" customHeight="1" outlineLevel="1">
      <c r="D65" s="203"/>
      <c r="E65" s="203"/>
      <c r="F65" s="203"/>
      <c r="G65" s="203"/>
      <c r="H65" s="203"/>
      <c r="K65" s="204"/>
      <c r="L65" s="331"/>
      <c r="M65" s="331"/>
      <c r="N65" s="331"/>
      <c r="O65" s="331"/>
      <c r="P65" s="331"/>
      <c r="Q65" s="204"/>
    </row>
    <row r="66" spans="2:17" ht="15" customHeight="1" outlineLevel="1">
      <c r="B66" s="332"/>
      <c r="C66" s="413"/>
      <c r="D66" s="312" t="s">
        <v>230</v>
      </c>
      <c r="E66" s="134"/>
      <c r="F66" s="134"/>
      <c r="G66" s="134"/>
      <c r="H66" s="134"/>
      <c r="I66" s="332"/>
      <c r="K66" s="333"/>
      <c r="L66" s="232" t="s">
        <v>230</v>
      </c>
      <c r="M66" s="231"/>
      <c r="N66" s="231"/>
      <c r="O66" s="231"/>
      <c r="P66" s="231"/>
      <c r="Q66" s="333"/>
    </row>
    <row r="67" spans="2:17" ht="15" customHeight="1" outlineLevel="1">
      <c r="C67" s="414">
        <f>Model!$H$446</f>
        <v>110027.32371224451</v>
      </c>
      <c r="D67" s="277">
        <f>E67-0.5</f>
        <v>6</v>
      </c>
      <c r="E67" s="277">
        <f>F67-0.5</f>
        <v>6.5</v>
      </c>
      <c r="F67" s="277">
        <f>+Inputs!$F$108</f>
        <v>7</v>
      </c>
      <c r="G67" s="277">
        <f>+F67+0.5</f>
        <v>7.5</v>
      </c>
      <c r="H67" s="277">
        <f>+G67+0.5</f>
        <v>8</v>
      </c>
      <c r="I67" s="204"/>
      <c r="K67" s="233"/>
      <c r="L67" s="277">
        <f>D67</f>
        <v>6</v>
      </c>
      <c r="M67" s="277">
        <f>E67</f>
        <v>6.5</v>
      </c>
      <c r="N67" s="277">
        <f>F67</f>
        <v>7</v>
      </c>
      <c r="O67" s="277">
        <f>G67</f>
        <v>7.5</v>
      </c>
      <c r="P67" s="277">
        <f>H67</f>
        <v>8</v>
      </c>
      <c r="Q67" s="204"/>
    </row>
    <row r="68" spans="2:17" ht="15" customHeight="1" outlineLevel="1">
      <c r="B68" s="476" t="s">
        <v>96</v>
      </c>
      <c r="C68" s="140">
        <f>C69-0.01</f>
        <v>7.7429919540151548E-2</v>
      </c>
      <c r="D68" s="381">
        <f t="dataTable" ref="D68:H72" dt2D="1" dtr="1" r1="O56" r2="O57"/>
        <v>108714.65991936073</v>
      </c>
      <c r="E68" s="382">
        <v>114023.71290809957</v>
      </c>
      <c r="F68" s="382">
        <v>119332.76589683839</v>
      </c>
      <c r="G68" s="382">
        <v>124641.81888557725</v>
      </c>
      <c r="H68" s="383">
        <v>129950.87187431607</v>
      </c>
      <c r="I68" s="204"/>
      <c r="J68" s="476" t="s">
        <v>96</v>
      </c>
      <c r="K68" s="140">
        <f>C68</f>
        <v>7.7429919540151548E-2</v>
      </c>
      <c r="L68" s="371">
        <f>D81/$O$59</f>
        <v>2.6337035064140562</v>
      </c>
      <c r="M68" s="372">
        <f t="shared" ref="L68:P72" si="8">E81/$O$59</f>
        <v>2.7889389739210397</v>
      </c>
      <c r="N68" s="372">
        <f t="shared" si="8"/>
        <v>2.9441744414280233</v>
      </c>
      <c r="O68" s="372">
        <f t="shared" si="8"/>
        <v>3.0994099089350073</v>
      </c>
      <c r="P68" s="373">
        <f t="shared" si="8"/>
        <v>3.2546453764419905</v>
      </c>
      <c r="Q68" s="204"/>
    </row>
    <row r="69" spans="2:17" ht="15" customHeight="1" outlineLevel="1">
      <c r="B69" s="476"/>
      <c r="C69" s="140">
        <f>C70-0.01</f>
        <v>8.7429919540151543E-2</v>
      </c>
      <c r="D69" s="384">
        <v>104476.968821577</v>
      </c>
      <c r="E69" s="385">
        <v>109511.13335362842</v>
      </c>
      <c r="F69" s="385">
        <v>114545.29788567984</v>
      </c>
      <c r="G69" s="385">
        <v>119579.46241773127</v>
      </c>
      <c r="H69" s="386">
        <v>124613.62694978269</v>
      </c>
      <c r="I69" s="204"/>
      <c r="J69" s="476"/>
      <c r="K69" s="140">
        <f t="shared" ref="K69:K72" si="9">C69</f>
        <v>8.7429919540151543E-2</v>
      </c>
      <c r="L69" s="374">
        <f t="shared" si="8"/>
        <v>2.5097944099876317</v>
      </c>
      <c r="M69" s="375">
        <f t="shared" si="8"/>
        <v>2.6569922033224684</v>
      </c>
      <c r="N69" s="375">
        <f t="shared" si="8"/>
        <v>2.8041899966573052</v>
      </c>
      <c r="O69" s="375">
        <f t="shared" si="8"/>
        <v>2.9513877899921424</v>
      </c>
      <c r="P69" s="376">
        <f t="shared" si="8"/>
        <v>3.0985855833269791</v>
      </c>
      <c r="Q69" s="204"/>
    </row>
    <row r="70" spans="2:17" ht="15" customHeight="1" outlineLevel="1">
      <c r="B70" s="476"/>
      <c r="C70" s="140">
        <f>Inputs!$L$84</f>
        <v>9.7429919540151538E-2</v>
      </c>
      <c r="D70" s="384">
        <v>100475.65809810358</v>
      </c>
      <c r="E70" s="385">
        <v>105251.49090517403</v>
      </c>
      <c r="F70" s="387">
        <v>110027.32371224451</v>
      </c>
      <c r="G70" s="385">
        <v>114803.15651931497</v>
      </c>
      <c r="H70" s="386">
        <v>119578.98932638543</v>
      </c>
      <c r="I70" s="204"/>
      <c r="J70" s="476"/>
      <c r="K70" s="140">
        <f t="shared" si="9"/>
        <v>9.7429919540151538E-2</v>
      </c>
      <c r="L70" s="374">
        <f t="shared" si="8"/>
        <v>2.3927970204123854</v>
      </c>
      <c r="M70" s="375">
        <f t="shared" si="8"/>
        <v>2.5324412545372521</v>
      </c>
      <c r="N70" s="377">
        <f t="shared" si="8"/>
        <v>2.6720854886621201</v>
      </c>
      <c r="O70" s="375">
        <f t="shared" si="8"/>
        <v>2.8117297227869873</v>
      </c>
      <c r="P70" s="376">
        <f t="shared" si="8"/>
        <v>2.9513739569118549</v>
      </c>
      <c r="Q70" s="204"/>
    </row>
    <row r="71" spans="2:17" ht="15" customHeight="1" outlineLevel="1">
      <c r="B71" s="476"/>
      <c r="C71" s="140">
        <f>C70+0.01</f>
        <v>0.10742991954015153</v>
      </c>
      <c r="D71" s="384">
        <v>96695.121277423954</v>
      </c>
      <c r="E71" s="385">
        <v>101228.04438845412</v>
      </c>
      <c r="F71" s="385">
        <v>105760.96749948425</v>
      </c>
      <c r="G71" s="385">
        <v>110293.8906105144</v>
      </c>
      <c r="H71" s="386">
        <v>114826.81372154453</v>
      </c>
      <c r="I71" s="204"/>
      <c r="J71" s="476"/>
      <c r="K71" s="140">
        <f t="shared" si="9"/>
        <v>0.10742991954015153</v>
      </c>
      <c r="L71" s="374">
        <f t="shared" si="8"/>
        <v>2.2822550081118114</v>
      </c>
      <c r="M71" s="375">
        <f t="shared" si="8"/>
        <v>2.414796619545442</v>
      </c>
      <c r="N71" s="375">
        <f t="shared" si="8"/>
        <v>2.5473382309790717</v>
      </c>
      <c r="O71" s="375">
        <f t="shared" si="8"/>
        <v>2.6798798424127015</v>
      </c>
      <c r="P71" s="376">
        <f t="shared" si="8"/>
        <v>2.8124214538463312</v>
      </c>
      <c r="Q71" s="204"/>
    </row>
    <row r="72" spans="2:17" ht="15" customHeight="1" outlineLevel="1">
      <c r="B72" s="476"/>
      <c r="C72" s="140">
        <f>C71+0.01</f>
        <v>0.11742991954015153</v>
      </c>
      <c r="D72" s="388">
        <v>93120.922540952452</v>
      </c>
      <c r="E72" s="389">
        <v>97425.310304465194</v>
      </c>
      <c r="F72" s="389">
        <v>101729.69806797794</v>
      </c>
      <c r="G72" s="389">
        <v>106034.08583149069</v>
      </c>
      <c r="H72" s="390">
        <v>110338.47359500345</v>
      </c>
      <c r="I72" s="204"/>
      <c r="J72" s="476"/>
      <c r="K72" s="140">
        <f t="shared" si="9"/>
        <v>0.11742991954015153</v>
      </c>
      <c r="L72" s="378">
        <f t="shared" si="8"/>
        <v>2.1777462731272648</v>
      </c>
      <c r="M72" s="379">
        <f t="shared" si="8"/>
        <v>2.3036055644580467</v>
      </c>
      <c r="N72" s="379">
        <f t="shared" si="8"/>
        <v>2.4294648557888285</v>
      </c>
      <c r="O72" s="379">
        <f t="shared" si="8"/>
        <v>2.5553241471196109</v>
      </c>
      <c r="P72" s="380">
        <f t="shared" si="8"/>
        <v>2.6811834384503932</v>
      </c>
      <c r="Q72" s="204"/>
    </row>
    <row r="73" spans="2:17" ht="15" customHeight="1" outlineLevel="1">
      <c r="C73" s="204"/>
      <c r="D73" s="204"/>
      <c r="E73" s="204"/>
      <c r="F73" s="204"/>
      <c r="G73" s="204"/>
      <c r="H73" s="204"/>
      <c r="I73" s="204"/>
    </row>
    <row r="74" spans="2:17" ht="15" customHeight="1" outlineLevel="1">
      <c r="C74" s="204"/>
      <c r="D74" s="204"/>
      <c r="E74" s="204"/>
      <c r="F74" s="204"/>
      <c r="G74" s="204"/>
      <c r="H74" s="204"/>
      <c r="I74" s="204"/>
      <c r="J74" s="204"/>
      <c r="K74" s="204"/>
      <c r="L74" s="230"/>
      <c r="M74" s="231"/>
      <c r="N74" s="231"/>
      <c r="O74" s="231"/>
      <c r="P74" s="231"/>
    </row>
    <row r="75" spans="2:17" ht="15" customHeight="1" outlineLevel="1">
      <c r="C75" s="204"/>
      <c r="D75" s="204"/>
      <c r="E75" s="204"/>
      <c r="F75" s="204"/>
      <c r="G75" s="204"/>
      <c r="H75" s="204"/>
      <c r="I75" s="204"/>
      <c r="J75" s="204"/>
      <c r="K75" s="204"/>
      <c r="L75" s="204"/>
      <c r="M75" s="204"/>
      <c r="N75" s="204"/>
      <c r="O75" s="204"/>
      <c r="P75" s="204"/>
    </row>
    <row r="76" spans="2:17" ht="15" customHeight="1" outlineLevel="1">
      <c r="C76" s="204"/>
      <c r="D76" s="204"/>
      <c r="E76" s="204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</row>
    <row r="77" spans="2:17" ht="15" customHeight="1" outlineLevel="1">
      <c r="D77" s="138" t="s">
        <v>118</v>
      </c>
      <c r="E77" s="134"/>
      <c r="F77" s="134"/>
      <c r="G77" s="134"/>
      <c r="H77" s="134"/>
      <c r="J77" s="204"/>
      <c r="K77" s="204"/>
      <c r="L77" s="230" t="s">
        <v>155</v>
      </c>
      <c r="M77" s="231"/>
      <c r="N77" s="231"/>
      <c r="O77" s="231"/>
      <c r="P77" s="231"/>
    </row>
    <row r="78" spans="2:17" ht="15" customHeight="1" outlineLevel="1">
      <c r="D78" s="203"/>
      <c r="E78" s="203"/>
      <c r="F78" s="203"/>
      <c r="G78" s="203"/>
      <c r="H78" s="203"/>
      <c r="J78" s="204"/>
      <c r="K78" s="204"/>
      <c r="L78" s="331"/>
      <c r="M78" s="331"/>
      <c r="N78" s="331"/>
      <c r="O78" s="331"/>
      <c r="P78" s="331"/>
    </row>
    <row r="79" spans="2:17" ht="15" customHeight="1" outlineLevel="1">
      <c r="B79" s="332"/>
      <c r="C79" s="332"/>
      <c r="D79" s="312" t="s">
        <v>230</v>
      </c>
      <c r="E79" s="134"/>
      <c r="F79" s="134"/>
      <c r="G79" s="134"/>
      <c r="H79" s="134"/>
      <c r="I79" s="332"/>
      <c r="J79" s="333"/>
      <c r="K79" s="333"/>
      <c r="L79" s="232" t="s">
        <v>230</v>
      </c>
      <c r="M79" s="231"/>
      <c r="N79" s="231"/>
      <c r="O79" s="231"/>
      <c r="P79" s="231"/>
    </row>
    <row r="80" spans="2:17" ht="15" customHeight="1" outlineLevel="1">
      <c r="B80" s="204"/>
      <c r="C80" s="229"/>
      <c r="D80" s="277">
        <f>D67</f>
        <v>6</v>
      </c>
      <c r="E80" s="277">
        <f>E67</f>
        <v>6.5</v>
      </c>
      <c r="F80" s="277">
        <f>F67</f>
        <v>7</v>
      </c>
      <c r="G80" s="277">
        <f>G67</f>
        <v>7.5</v>
      </c>
      <c r="H80" s="277">
        <f>H67</f>
        <v>8</v>
      </c>
      <c r="J80" s="204"/>
      <c r="K80" s="229"/>
      <c r="L80" s="277">
        <f>D80</f>
        <v>6</v>
      </c>
      <c r="M80" s="277">
        <f t="shared" ref="M80:P80" si="10">E80</f>
        <v>6.5</v>
      </c>
      <c r="N80" s="277">
        <f t="shared" si="10"/>
        <v>7</v>
      </c>
      <c r="O80" s="277">
        <f t="shared" si="10"/>
        <v>7.5</v>
      </c>
      <c r="P80" s="277">
        <f t="shared" si="10"/>
        <v>8</v>
      </c>
    </row>
    <row r="81" spans="1:16" ht="15" customHeight="1" outlineLevel="1">
      <c r="B81" s="477" t="s">
        <v>96</v>
      </c>
      <c r="C81" s="140">
        <f>C68</f>
        <v>7.7429919540151548E-2</v>
      </c>
      <c r="D81" s="381">
        <f>D68-$O$58</f>
        <v>90072.659919360725</v>
      </c>
      <c r="E81" s="382">
        <f t="shared" ref="D81:H85" si="11">E68-$O$58</f>
        <v>95381.712908099566</v>
      </c>
      <c r="F81" s="382">
        <f t="shared" si="11"/>
        <v>100690.76589683839</v>
      </c>
      <c r="G81" s="382">
        <f t="shared" si="11"/>
        <v>105999.81888557725</v>
      </c>
      <c r="H81" s="383">
        <f t="shared" si="11"/>
        <v>111308.87187431607</v>
      </c>
      <c r="J81" s="477" t="s">
        <v>96</v>
      </c>
      <c r="K81" s="140">
        <f>C81</f>
        <v>7.7429919540151548E-2</v>
      </c>
      <c r="L81" s="361">
        <f>L68/$O$60-1</f>
        <v>0.181032962517514</v>
      </c>
      <c r="M81" s="362">
        <f t="shared" ref="L81:P85" si="12">M68/$O$60-1</f>
        <v>0.25064527978521967</v>
      </c>
      <c r="N81" s="362">
        <f t="shared" si="12"/>
        <v>0.32025759705292534</v>
      </c>
      <c r="O81" s="362">
        <f t="shared" si="12"/>
        <v>0.38986991432063101</v>
      </c>
      <c r="P81" s="363">
        <f t="shared" si="12"/>
        <v>0.45948223158833645</v>
      </c>
    </row>
    <row r="82" spans="1:16" ht="15" customHeight="1" outlineLevel="1">
      <c r="B82" s="477"/>
      <c r="C82" s="140">
        <f t="shared" ref="C82:C85" si="13">C69</f>
        <v>8.7429919540151543E-2</v>
      </c>
      <c r="D82" s="384">
        <f t="shared" si="11"/>
        <v>85834.968821577</v>
      </c>
      <c r="E82" s="385">
        <f t="shared" si="11"/>
        <v>90869.133353628422</v>
      </c>
      <c r="F82" s="385">
        <f t="shared" si="11"/>
        <v>95903.297885679844</v>
      </c>
      <c r="G82" s="385">
        <f t="shared" si="11"/>
        <v>100937.46241773127</v>
      </c>
      <c r="H82" s="386">
        <f t="shared" si="11"/>
        <v>105971.62694978269</v>
      </c>
      <c r="J82" s="477"/>
      <c r="K82" s="140">
        <f t="shared" ref="K82:K85" si="14">C82</f>
        <v>8.7429919540151543E-2</v>
      </c>
      <c r="L82" s="364">
        <f t="shared" si="12"/>
        <v>0.12546834528593354</v>
      </c>
      <c r="M82" s="365">
        <f t="shared" si="12"/>
        <v>0.1914763243598514</v>
      </c>
      <c r="N82" s="365">
        <f t="shared" si="12"/>
        <v>0.25748430343376905</v>
      </c>
      <c r="O82" s="365">
        <f t="shared" si="12"/>
        <v>0.32349228250768713</v>
      </c>
      <c r="P82" s="366">
        <f t="shared" si="12"/>
        <v>0.389500261581605</v>
      </c>
    </row>
    <row r="83" spans="1:16" ht="15" customHeight="1" outlineLevel="1">
      <c r="B83" s="477"/>
      <c r="C83" s="140">
        <f t="shared" si="13"/>
        <v>9.7429919540151538E-2</v>
      </c>
      <c r="D83" s="384">
        <f t="shared" si="11"/>
        <v>81833.65809810358</v>
      </c>
      <c r="E83" s="385">
        <f t="shared" si="11"/>
        <v>86609.490905174025</v>
      </c>
      <c r="F83" s="387">
        <f t="shared" si="11"/>
        <v>91385.323712244513</v>
      </c>
      <c r="G83" s="385">
        <f t="shared" si="11"/>
        <v>96161.156519314973</v>
      </c>
      <c r="H83" s="386">
        <f t="shared" si="11"/>
        <v>100936.98932638543</v>
      </c>
      <c r="J83" s="477"/>
      <c r="K83" s="140">
        <f t="shared" si="14"/>
        <v>9.7429919540151538E-2</v>
      </c>
      <c r="L83" s="364">
        <f t="shared" si="12"/>
        <v>7.3003148166989051E-2</v>
      </c>
      <c r="M83" s="365">
        <f t="shared" si="12"/>
        <v>0.13562388095840894</v>
      </c>
      <c r="N83" s="367">
        <f t="shared" si="12"/>
        <v>0.19824461374982971</v>
      </c>
      <c r="O83" s="365">
        <f t="shared" si="12"/>
        <v>0.26086534654124982</v>
      </c>
      <c r="P83" s="366">
        <f t="shared" si="12"/>
        <v>0.32348607933267037</v>
      </c>
    </row>
    <row r="84" spans="1:16" ht="15" customHeight="1" outlineLevel="1">
      <c r="B84" s="477"/>
      <c r="C84" s="140">
        <f t="shared" si="13"/>
        <v>0.10742991954015153</v>
      </c>
      <c r="D84" s="384">
        <f t="shared" si="11"/>
        <v>78053.121277423954</v>
      </c>
      <c r="E84" s="385">
        <f t="shared" si="11"/>
        <v>82586.044388454116</v>
      </c>
      <c r="F84" s="385">
        <f t="shared" si="11"/>
        <v>87118.96749948425</v>
      </c>
      <c r="G84" s="385">
        <f t="shared" si="11"/>
        <v>91651.890610514398</v>
      </c>
      <c r="H84" s="386">
        <f t="shared" si="11"/>
        <v>96184.813721544531</v>
      </c>
      <c r="J84" s="477"/>
      <c r="K84" s="140">
        <f t="shared" si="14"/>
        <v>0.10742991954015153</v>
      </c>
      <c r="L84" s="364">
        <f t="shared" si="12"/>
        <v>2.3432739063592445E-2</v>
      </c>
      <c r="M84" s="365">
        <f t="shared" si="12"/>
        <v>8.2868439258045656E-2</v>
      </c>
      <c r="N84" s="365">
        <f t="shared" si="12"/>
        <v>0.14230413945249865</v>
      </c>
      <c r="O84" s="365">
        <f t="shared" si="12"/>
        <v>0.20173983964695141</v>
      </c>
      <c r="P84" s="366">
        <f t="shared" si="12"/>
        <v>0.26117553984140418</v>
      </c>
    </row>
    <row r="85" spans="1:16" ht="15" customHeight="1" outlineLevel="1">
      <c r="B85" s="477"/>
      <c r="C85" s="140">
        <f t="shared" si="13"/>
        <v>0.11742991954015153</v>
      </c>
      <c r="D85" s="388">
        <f t="shared" si="11"/>
        <v>74478.922540952452</v>
      </c>
      <c r="E85" s="389">
        <f t="shared" si="11"/>
        <v>78783.310304465194</v>
      </c>
      <c r="F85" s="389">
        <f t="shared" si="11"/>
        <v>83087.698067977937</v>
      </c>
      <c r="G85" s="389">
        <f t="shared" si="11"/>
        <v>87392.085831490695</v>
      </c>
      <c r="H85" s="390">
        <f t="shared" si="11"/>
        <v>91696.473595003452</v>
      </c>
      <c r="J85" s="477"/>
      <c r="K85" s="140">
        <f t="shared" si="14"/>
        <v>0.11742991954015153</v>
      </c>
      <c r="L85" s="368">
        <f t="shared" si="12"/>
        <v>-2.343216451692165E-2</v>
      </c>
      <c r="M85" s="369">
        <f t="shared" si="12"/>
        <v>3.3006979577599349E-2</v>
      </c>
      <c r="N85" s="369">
        <f t="shared" si="12"/>
        <v>8.9446123672120459E-2</v>
      </c>
      <c r="O85" s="369">
        <f t="shared" si="12"/>
        <v>0.14588526776664157</v>
      </c>
      <c r="P85" s="370">
        <f>P72/$O$60-1</f>
        <v>0.2023244118611629</v>
      </c>
    </row>
    <row r="86" spans="1:16" ht="15" customHeight="1" outlineLevel="1">
      <c r="B86" s="339"/>
      <c r="C86" s="140"/>
      <c r="D86" s="275"/>
      <c r="E86" s="275"/>
      <c r="F86" s="275"/>
      <c r="G86" s="275"/>
      <c r="H86" s="275"/>
      <c r="I86" s="204"/>
      <c r="J86" s="339"/>
      <c r="K86" s="140"/>
      <c r="L86" s="340"/>
      <c r="M86" s="340"/>
      <c r="N86" s="340"/>
      <c r="O86" s="340"/>
      <c r="P86" s="340"/>
    </row>
    <row r="87" spans="1:16" ht="15" customHeight="1" outlineLevel="1">
      <c r="B87" s="339"/>
      <c r="C87" s="140"/>
      <c r="D87" s="275"/>
      <c r="E87" s="275"/>
      <c r="F87" s="275"/>
      <c r="G87" s="275"/>
      <c r="H87" s="275"/>
      <c r="I87" s="204"/>
      <c r="J87" s="339"/>
      <c r="K87" s="140"/>
      <c r="L87" s="340"/>
      <c r="M87" s="340"/>
      <c r="N87" s="340"/>
      <c r="O87" s="340"/>
      <c r="P87" s="255" t="s">
        <v>232</v>
      </c>
    </row>
    <row r="88" spans="1:16" ht="15" customHeight="1" outlineLevel="1">
      <c r="B88" s="204"/>
      <c r="C88" s="204"/>
      <c r="D88" s="136"/>
      <c r="E88" s="136"/>
      <c r="F88" s="136"/>
      <c r="G88" s="136"/>
      <c r="H88" s="136"/>
    </row>
    <row r="89" spans="1:16" ht="15" customHeight="1" outlineLevel="1">
      <c r="B89" s="143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3" t="s">
        <v>151</v>
      </c>
    </row>
    <row r="91" spans="1:16" ht="22.05" customHeight="1">
      <c r="A91" s="591" t="s">
        <v>247</v>
      </c>
      <c r="B91" s="480"/>
      <c r="C91" s="480"/>
      <c r="D91" s="480"/>
      <c r="E91" s="480"/>
      <c r="F91" s="480"/>
      <c r="G91" s="480"/>
      <c r="H91" s="480"/>
      <c r="I91" s="480"/>
      <c r="J91" s="480"/>
      <c r="K91" s="480"/>
      <c r="L91" s="480"/>
      <c r="M91" s="480"/>
      <c r="N91" s="480"/>
      <c r="O91" s="480"/>
      <c r="P91" s="480"/>
    </row>
    <row r="92" spans="1:16" ht="28.05" customHeight="1">
      <c r="A92" s="501" t="s">
        <v>246</v>
      </c>
      <c r="B92" s="480"/>
      <c r="C92" s="480"/>
      <c r="D92" s="480"/>
      <c r="E92" s="480"/>
      <c r="F92" s="480"/>
      <c r="G92" s="480"/>
      <c r="H92" s="480"/>
      <c r="I92" s="480"/>
      <c r="J92" s="480"/>
      <c r="K92" s="480"/>
      <c r="L92" s="480"/>
      <c r="M92" s="480"/>
      <c r="N92" s="480"/>
      <c r="O92" s="480"/>
      <c r="P92" s="480"/>
    </row>
  </sheetData>
  <mergeCells count="11">
    <mergeCell ref="A1:P1"/>
    <mergeCell ref="A91:P91"/>
    <mergeCell ref="A92:P92"/>
    <mergeCell ref="J68:J72"/>
    <mergeCell ref="J81:J85"/>
    <mergeCell ref="B24:B28"/>
    <mergeCell ref="B37:B41"/>
    <mergeCell ref="J24:J28"/>
    <mergeCell ref="J37:J41"/>
    <mergeCell ref="B68:B72"/>
    <mergeCell ref="B81:B85"/>
  </mergeCells>
  <conditionalFormatting sqref="L14 L15:N16">
    <cfRule type="containsText" dxfId="32" priority="11" operator="containsText" text="OK">
      <formula>NOT(ISERROR(SEARCH("OK",L14)))</formula>
    </cfRule>
    <cfRule type="containsText" dxfId="31" priority="12" operator="containsText" text="ERROR">
      <formula>NOT(ISERROR(SEARCH("ERROR",L14)))</formula>
    </cfRule>
  </conditionalFormatting>
  <conditionalFormatting sqref="L58 L59:N60">
    <cfRule type="containsText" dxfId="30" priority="3" operator="containsText" text="OK">
      <formula>NOT(ISERROR(SEARCH("OK",L58)))</formula>
    </cfRule>
    <cfRule type="containsText" dxfId="29" priority="4" operator="containsText" text="ERROR">
      <formula>NOT(ISERROR(SEARCH("ERROR",L58)))</formula>
    </cfRule>
  </conditionalFormatting>
  <conditionalFormatting sqref="N14">
    <cfRule type="containsText" dxfId="28" priority="5" operator="containsText" text="OK">
      <formula>NOT(ISERROR(SEARCH("OK",N14)))</formula>
    </cfRule>
    <cfRule type="containsText" dxfId="27" priority="6" operator="containsText" text="ERROR">
      <formula>NOT(ISERROR(SEARCH("ERROR",N14)))</formula>
    </cfRule>
  </conditionalFormatting>
  <conditionalFormatting sqref="N58">
    <cfRule type="containsText" dxfId="26" priority="1" operator="containsText" text="OK">
      <formula>NOT(ISERROR(SEARCH("OK",N58)))</formula>
    </cfRule>
    <cfRule type="containsText" dxfId="25" priority="2" operator="containsText" text="ERROR">
      <formula>NOT(ISERROR(SEARCH("ERROR",N58)))</formula>
    </cfRule>
  </conditionalFormatting>
  <hyperlinks>
    <hyperlink ref="A91" r:id="rId1" tooltip="Visit Zaigham Ali — Financial Modeling &amp; Analysis" xr:uid="{8FF70709-E1D9-42C2-B0BF-9DD7C6EF8DDF}"/>
  </hyperlinks>
  <printOptions horizontalCentered="1"/>
  <pageMargins left="0.11811023622047245" right="0.11811023622047245" top="0.11811023622047245" bottom="0.11811023622047245" header="0.11811023622047245" footer="0.11811023622047245"/>
  <pageSetup scale="88" orientation="landscape" r:id="rId2"/>
  <headerFooter>
    <oddFooter>&amp;L&amp;"Open Sans,Bold"&amp;10&amp;K002060DCF Valuation Modeling&amp;C&amp;"Open Sans,Bold"&amp;10&amp;K002060Page &amp;P of &amp;N&amp;R&amp;G</oddFooter>
  </headerFooter>
  <rowBreaks count="1" manualBreakCount="1">
    <brk id="46" min="1" max="17" man="1"/>
  </rowBreaks>
  <drawing r:id="rId3"/>
  <legacyDrawing r:id="rId4"/>
  <legacyDrawingHF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6" name="Drop Down 1">
              <controlPr defaultSize="0" autoLine="0" autoPict="0">
                <anchor moveWithCells="1" sizeWithCells="1">
                  <from>
                    <xdr:col>5</xdr:col>
                    <xdr:colOff>0</xdr:colOff>
                    <xdr:row>5</xdr:row>
                    <xdr:rowOff>0</xdr:rowOff>
                  </from>
                  <to>
                    <xdr:col>6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35" r:id="rId7" name="Drop Down 3">
              <controlPr defaultSize="0" autoLine="0" autoPict="0">
                <anchor moveWithCells="1" sizeWithCells="1">
                  <from>
                    <xdr:col>5</xdr:col>
                    <xdr:colOff>0</xdr:colOff>
                    <xdr:row>49</xdr:row>
                    <xdr:rowOff>0</xdr:rowOff>
                  </from>
                  <to>
                    <xdr:col>6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2C72A-37A2-4C40-9CA8-5CCBEC29C7F6}">
  <sheetPr>
    <pageSetUpPr autoPageBreaks="0"/>
  </sheetPr>
  <dimension ref="A1:M117"/>
  <sheetViews>
    <sheetView showGridLines="0" zoomScaleNormal="100" zoomScaleSheetLayoutView="100" workbookViewId="0">
      <pane ySplit="1" topLeftCell="A2" activePane="bottomLeft" state="frozen"/>
      <selection activeCell="A3" sqref="A3"/>
      <selection pane="bottomLeft" activeCell="F63" sqref="F63"/>
    </sheetView>
  </sheetViews>
  <sheetFormatPr defaultColWidth="9.109375" defaultRowHeight="15" customHeight="1" outlineLevelRow="1"/>
  <cols>
    <col min="1" max="1" width="9.109375" style="99"/>
    <col min="2" max="2" width="12.88671875" style="99" customWidth="1"/>
    <col min="3" max="5" width="11.88671875" style="99" customWidth="1"/>
    <col min="6" max="6" width="12.33203125" style="99" bestFit="1" customWidth="1"/>
    <col min="7" max="12" width="11.88671875" style="99" customWidth="1"/>
    <col min="13" max="13" width="1.6640625" style="99" customWidth="1"/>
    <col min="14" max="16384" width="9.109375" style="99"/>
  </cols>
  <sheetData>
    <row r="1" spans="1:13" ht="24" customHeight="1">
      <c r="A1" s="487" t="s">
        <v>249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11"/>
    </row>
    <row r="2" spans="1:13" ht="15" customHeight="1">
      <c r="A2" s="496"/>
      <c r="B2" s="496"/>
      <c r="C2" s="497"/>
      <c r="D2" s="497"/>
      <c r="E2" s="497"/>
      <c r="F2" s="497"/>
      <c r="G2" s="498"/>
      <c r="H2" s="499"/>
      <c r="I2" s="499"/>
      <c r="J2" s="499"/>
      <c r="K2" s="499"/>
      <c r="L2" s="499"/>
      <c r="M2" s="235"/>
    </row>
    <row r="3" spans="1:13" ht="15" customHeight="1">
      <c r="A3" s="496" t="s">
        <v>151</v>
      </c>
      <c r="B3" s="492" t="s">
        <v>134</v>
      </c>
      <c r="C3" s="493"/>
      <c r="D3" s="493"/>
      <c r="E3" s="493"/>
      <c r="F3" s="494"/>
      <c r="G3" s="495"/>
      <c r="H3" s="495"/>
      <c r="I3" s="495"/>
      <c r="J3" s="495"/>
      <c r="K3" s="495"/>
      <c r="L3" s="495"/>
      <c r="M3" s="8"/>
    </row>
    <row r="4" spans="1:13" ht="15" customHeight="1" outlineLevel="1">
      <c r="A4" s="1"/>
      <c r="B4" s="506"/>
      <c r="C4" s="6"/>
      <c r="D4" s="7"/>
      <c r="E4" s="7"/>
      <c r="F4" s="8"/>
      <c r="G4" s="8"/>
      <c r="H4" s="8"/>
      <c r="I4" s="8"/>
      <c r="J4" s="8"/>
      <c r="K4" s="8"/>
      <c r="L4" s="8"/>
      <c r="M4" s="8"/>
    </row>
    <row r="5" spans="1:13" ht="15" customHeight="1" outlineLevel="1" thickBot="1">
      <c r="A5" s="1"/>
      <c r="B5" s="9" t="s">
        <v>22</v>
      </c>
      <c r="C5" s="6"/>
      <c r="D5" s="10"/>
      <c r="E5" s="10"/>
      <c r="F5" s="502"/>
      <c r="G5" s="87">
        <f>$F$97</f>
        <v>2023</v>
      </c>
      <c r="H5" s="87">
        <f>G5+1</f>
        <v>2024</v>
      </c>
      <c r="I5" s="87">
        <f>H5+1</f>
        <v>2025</v>
      </c>
      <c r="J5" s="87">
        <f>I5+1</f>
        <v>2026</v>
      </c>
      <c r="K5" s="87">
        <f>J5+1</f>
        <v>2027</v>
      </c>
      <c r="L5" s="87" t="s">
        <v>85</v>
      </c>
    </row>
    <row r="6" spans="1:13" s="100" customFormat="1" ht="15" customHeight="1" outlineLevel="1">
      <c r="B6" s="14"/>
      <c r="D6" s="311"/>
      <c r="E6" s="311"/>
      <c r="F6" s="311"/>
      <c r="G6" s="311"/>
      <c r="H6" s="311"/>
      <c r="I6" s="101"/>
      <c r="J6" s="507"/>
    </row>
    <row r="7" spans="1:13" s="100" customFormat="1" ht="15" customHeight="1" outlineLevel="1">
      <c r="B7" s="279" t="s">
        <v>161</v>
      </c>
      <c r="D7" s="449">
        <f>Outputs!F6</f>
        <v>3</v>
      </c>
      <c r="E7" s="311"/>
      <c r="F7" s="311"/>
      <c r="G7" s="311"/>
      <c r="H7" s="311"/>
      <c r="I7" s="101"/>
      <c r="J7" s="507"/>
    </row>
    <row r="8" spans="1:13" s="100" customFormat="1" ht="15" customHeight="1" outlineLevel="1">
      <c r="C8" s="311"/>
      <c r="D8" s="311"/>
      <c r="E8" s="311"/>
      <c r="F8" s="311"/>
      <c r="G8" s="311"/>
      <c r="H8" s="101"/>
      <c r="I8" s="507"/>
    </row>
    <row r="9" spans="1:13" s="100" customFormat="1" ht="15" customHeight="1" outlineLevel="1">
      <c r="C9" s="311"/>
      <c r="D9" s="311"/>
      <c r="E9" s="311"/>
      <c r="F9" s="311"/>
      <c r="G9" s="311"/>
      <c r="H9" s="101"/>
      <c r="I9" s="507"/>
    </row>
    <row r="10" spans="1:13" s="100" customFormat="1" ht="15" customHeight="1" outlineLevel="1">
      <c r="B10" s="279" t="s">
        <v>14</v>
      </c>
      <c r="D10" s="124"/>
      <c r="E10" s="124"/>
      <c r="F10" s="124"/>
      <c r="G10" s="430" cm="1">
        <f t="array" ref="G10">INDEX(G12:G14,$D$7)</f>
        <v>0.01</v>
      </c>
      <c r="H10" s="431" cm="1">
        <f t="array" ref="H10">INDEX(H12:H14,$D$7)</f>
        <v>0.01</v>
      </c>
      <c r="I10" s="431" cm="1">
        <f t="array" ref="I10">INDEX(I12:I14,$D$7)</f>
        <v>5.0000000000000001E-3</v>
      </c>
      <c r="J10" s="431" cm="1">
        <f t="array" ref="J10">INDEX(J12:J14,$D$7)</f>
        <v>5.0000000000000001E-3</v>
      </c>
      <c r="K10" s="431" cm="1">
        <f t="array" ref="K10">INDEX(K12:K14,$D$7)</f>
        <v>5.0000000000000001E-3</v>
      </c>
      <c r="L10" s="432" cm="1">
        <f t="array" ref="L10">INDEX(L12:L14,$D$7)</f>
        <v>5.0000000000000001E-3</v>
      </c>
    </row>
    <row r="11" spans="1:13" s="100" customFormat="1" ht="15" customHeight="1" outlineLevel="1">
      <c r="C11" s="311"/>
      <c r="D11" s="311"/>
      <c r="E11" s="311"/>
      <c r="F11" s="311"/>
      <c r="G11" s="433"/>
      <c r="H11" s="434"/>
      <c r="I11" s="508"/>
      <c r="J11" s="435"/>
      <c r="K11" s="435"/>
      <c r="L11" s="435"/>
    </row>
    <row r="12" spans="1:13" s="100" customFormat="1" ht="15" customHeight="1" outlineLevel="1">
      <c r="B12" s="317" t="str">
        <f>Outputs!D14</f>
        <v>Best Case</v>
      </c>
      <c r="C12" s="102"/>
      <c r="D12" s="311"/>
      <c r="E12" s="311"/>
      <c r="F12" s="311"/>
      <c r="G12" s="509">
        <v>0.03</v>
      </c>
      <c r="H12" s="510">
        <v>0.02</v>
      </c>
      <c r="I12" s="510">
        <v>0.02</v>
      </c>
      <c r="J12" s="510">
        <v>1.4999999999999999E-2</v>
      </c>
      <c r="K12" s="510">
        <v>1.4999999999999999E-2</v>
      </c>
      <c r="L12" s="511">
        <v>0.01</v>
      </c>
    </row>
    <row r="13" spans="1:13" s="100" customFormat="1" ht="15" customHeight="1" outlineLevel="1">
      <c r="B13" s="317" t="str">
        <f>Outputs!D15</f>
        <v>Base Case</v>
      </c>
      <c r="C13" s="311"/>
      <c r="D13" s="311"/>
      <c r="E13" s="311"/>
      <c r="F13" s="311"/>
      <c r="G13" s="512">
        <v>0.02</v>
      </c>
      <c r="H13" s="513">
        <v>0.01</v>
      </c>
      <c r="I13" s="513">
        <v>0.01</v>
      </c>
      <c r="J13" s="513">
        <v>5.0000000000000001E-3</v>
      </c>
      <c r="K13" s="513">
        <v>5.0000000000000001E-3</v>
      </c>
      <c r="L13" s="514">
        <v>5.0000000000000001E-3</v>
      </c>
    </row>
    <row r="14" spans="1:13" s="100" customFormat="1" ht="15" customHeight="1" outlineLevel="1">
      <c r="B14" s="317" t="str">
        <f>Outputs!D16</f>
        <v>Worst Case</v>
      </c>
      <c r="C14" s="311"/>
      <c r="D14" s="311"/>
      <c r="E14" s="311"/>
      <c r="F14" s="311"/>
      <c r="G14" s="515">
        <v>0.01</v>
      </c>
      <c r="H14" s="516">
        <v>0.01</v>
      </c>
      <c r="I14" s="516">
        <v>5.0000000000000001E-3</v>
      </c>
      <c r="J14" s="516">
        <v>5.0000000000000001E-3</v>
      </c>
      <c r="K14" s="516">
        <v>5.0000000000000001E-3</v>
      </c>
      <c r="L14" s="517">
        <v>5.0000000000000001E-3</v>
      </c>
    </row>
    <row r="15" spans="1:13" s="100" customFormat="1" ht="15" customHeight="1" outlineLevel="1">
      <c r="B15" s="14"/>
      <c r="C15" s="125"/>
      <c r="D15" s="125"/>
      <c r="E15" s="125"/>
      <c r="F15" s="125"/>
      <c r="G15" s="433"/>
      <c r="H15" s="436"/>
      <c r="I15" s="508"/>
      <c r="J15" s="435"/>
      <c r="K15" s="435"/>
      <c r="L15" s="435"/>
    </row>
    <row r="16" spans="1:13" s="100" customFormat="1" ht="15" customHeight="1" outlineLevel="1">
      <c r="B16" s="14"/>
      <c r="C16" s="125"/>
      <c r="D16" s="125"/>
      <c r="E16" s="125"/>
      <c r="F16" s="125"/>
      <c r="G16" s="433"/>
      <c r="H16" s="436"/>
      <c r="I16" s="508"/>
      <c r="J16" s="435"/>
      <c r="K16" s="435"/>
      <c r="L16" s="435"/>
    </row>
    <row r="17" spans="2:12" s="100" customFormat="1" ht="15" customHeight="1" outlineLevel="1">
      <c r="B17" s="279" t="s">
        <v>20</v>
      </c>
      <c r="C17" s="125"/>
      <c r="D17" s="125"/>
      <c r="E17" s="125"/>
      <c r="F17" s="125"/>
      <c r="G17" s="430" cm="1">
        <f t="array" ref="G17">INDEX(G19:G21,$D$7)</f>
        <v>0.01</v>
      </c>
      <c r="H17" s="431" cm="1">
        <f t="array" ref="H17">INDEX(H19:H21,$D$7)</f>
        <v>0.01</v>
      </c>
      <c r="I17" s="431" cm="1">
        <f t="array" ref="I17">INDEX(I19:I21,$D$7)</f>
        <v>5.0000000000000001E-3</v>
      </c>
      <c r="J17" s="431" cm="1">
        <f t="array" ref="J17">INDEX(J19:J21,$D$7)</f>
        <v>5.0000000000000001E-3</v>
      </c>
      <c r="K17" s="431" cm="1">
        <f t="array" ref="K17">INDEX(K19:K21,$D$7)</f>
        <v>5.0000000000000001E-3</v>
      </c>
      <c r="L17" s="432" cm="1">
        <f t="array" ref="L17">INDEX(L19:L21,$D$7)</f>
        <v>5.0000000000000001E-3</v>
      </c>
    </row>
    <row r="18" spans="2:12" s="100" customFormat="1" ht="15" customHeight="1" outlineLevel="1">
      <c r="B18" s="14"/>
      <c r="C18" s="125"/>
      <c r="D18" s="125"/>
      <c r="E18" s="125"/>
      <c r="F18" s="125"/>
      <c r="G18" s="437"/>
      <c r="H18" s="438"/>
      <c r="I18" s="518"/>
      <c r="J18" s="439"/>
      <c r="K18" s="439"/>
      <c r="L18" s="439"/>
    </row>
    <row r="19" spans="2:12" s="100" customFormat="1" ht="15" customHeight="1" outlineLevel="1">
      <c r="B19" s="317" t="str">
        <f>$B$12</f>
        <v>Best Case</v>
      </c>
      <c r="C19" s="311"/>
      <c r="D19" s="311"/>
      <c r="E19" s="311"/>
      <c r="F19" s="311"/>
      <c r="G19" s="509">
        <v>3.5000000000000003E-2</v>
      </c>
      <c r="H19" s="510">
        <v>0.02</v>
      </c>
      <c r="I19" s="510">
        <v>0.02</v>
      </c>
      <c r="J19" s="510">
        <v>0.02</v>
      </c>
      <c r="K19" s="510">
        <v>1.4999999999999999E-2</v>
      </c>
      <c r="L19" s="511">
        <v>8.0000000000000002E-3</v>
      </c>
    </row>
    <row r="20" spans="2:12" s="100" customFormat="1" ht="15" customHeight="1" outlineLevel="1">
      <c r="B20" s="317" t="str">
        <f>$B$13</f>
        <v>Base Case</v>
      </c>
      <c r="C20" s="311"/>
      <c r="D20" s="311"/>
      <c r="E20" s="311"/>
      <c r="F20" s="311"/>
      <c r="G20" s="512">
        <v>0.03</v>
      </c>
      <c r="H20" s="513">
        <v>0.01</v>
      </c>
      <c r="I20" s="513">
        <v>0.01</v>
      </c>
      <c r="J20" s="513">
        <v>0.01</v>
      </c>
      <c r="K20" s="513">
        <v>5.0000000000000001E-3</v>
      </c>
      <c r="L20" s="514">
        <v>5.0000000000000001E-3</v>
      </c>
    </row>
    <row r="21" spans="2:12" s="100" customFormat="1" ht="15" customHeight="1" outlineLevel="1">
      <c r="B21" s="317" t="str">
        <f>$B$14</f>
        <v>Worst Case</v>
      </c>
      <c r="C21" s="311"/>
      <c r="D21" s="311"/>
      <c r="E21" s="311"/>
      <c r="F21" s="311"/>
      <c r="G21" s="515">
        <v>0.01</v>
      </c>
      <c r="H21" s="516">
        <v>0.01</v>
      </c>
      <c r="I21" s="516">
        <v>5.0000000000000001E-3</v>
      </c>
      <c r="J21" s="516">
        <v>5.0000000000000001E-3</v>
      </c>
      <c r="K21" s="516">
        <v>5.0000000000000001E-3</v>
      </c>
      <c r="L21" s="517">
        <v>5.0000000000000001E-3</v>
      </c>
    </row>
    <row r="22" spans="2:12" s="100" customFormat="1" ht="15" customHeight="1" outlineLevel="1">
      <c r="B22" s="103"/>
      <c r="C22" s="103"/>
      <c r="D22" s="103"/>
      <c r="E22" s="103"/>
      <c r="F22" s="103"/>
      <c r="G22" s="103"/>
      <c r="H22" s="103"/>
      <c r="I22" s="103"/>
      <c r="J22" s="103"/>
      <c r="K22" s="103"/>
      <c r="L22" s="103"/>
    </row>
    <row r="23" spans="2:12" s="100" customFormat="1" ht="15" customHeight="1" outlineLevel="1">
      <c r="C23" s="125"/>
      <c r="D23" s="125"/>
      <c r="E23" s="125"/>
      <c r="F23" s="125"/>
      <c r="G23" s="103"/>
      <c r="H23" s="103"/>
      <c r="I23" s="103"/>
      <c r="J23" s="103"/>
      <c r="K23" s="103"/>
      <c r="L23" s="103"/>
    </row>
    <row r="24" spans="2:12" s="100" customFormat="1" ht="15" customHeight="1" outlineLevel="1">
      <c r="B24" s="279" t="s">
        <v>56</v>
      </c>
      <c r="C24" s="125"/>
      <c r="D24" s="125"/>
      <c r="E24" s="125"/>
      <c r="F24" s="125"/>
      <c r="G24" s="440" cm="1">
        <f t="array" ref="G24">INDEX(G26:G28,$D$7)</f>
        <v>5000</v>
      </c>
      <c r="H24" s="441" cm="1">
        <f t="array" ref="H24">INDEX(H26:H28,$D$7)</f>
        <v>5200</v>
      </c>
      <c r="I24" s="441" cm="1">
        <f t="array" ref="I24">INDEX(I26:I28,$D$7)</f>
        <v>5400</v>
      </c>
      <c r="J24" s="441" cm="1">
        <f t="array" ref="J24">INDEX(J26:J28,$D$7)</f>
        <v>5500</v>
      </c>
      <c r="K24" s="441" cm="1">
        <f t="array" ref="K24">INDEX(K26:K28,$D$7)</f>
        <v>5600</v>
      </c>
      <c r="L24" s="442" cm="1">
        <f t="array" ref="L24">INDEX(L26:L28,$D$7)</f>
        <v>5800</v>
      </c>
    </row>
    <row r="25" spans="2:12" s="100" customFormat="1" ht="15" customHeight="1" outlineLevel="1">
      <c r="B25" s="14"/>
      <c r="C25" s="125"/>
      <c r="D25" s="125"/>
      <c r="E25" s="125"/>
      <c r="F25" s="125"/>
      <c r="G25" s="443"/>
      <c r="H25" s="444"/>
      <c r="I25" s="519"/>
      <c r="J25" s="445"/>
      <c r="K25" s="445"/>
      <c r="L25" s="445"/>
    </row>
    <row r="26" spans="2:12" s="100" customFormat="1" ht="15" customHeight="1" outlineLevel="1">
      <c r="B26" s="317" t="str">
        <f>$B$12</f>
        <v>Best Case</v>
      </c>
      <c r="C26" s="311"/>
      <c r="D26" s="311"/>
      <c r="E26" s="311"/>
      <c r="F26" s="311"/>
      <c r="G26" s="520">
        <v>4000</v>
      </c>
      <c r="H26" s="521">
        <v>4300</v>
      </c>
      <c r="I26" s="521">
        <v>4400</v>
      </c>
      <c r="J26" s="521">
        <v>4600</v>
      </c>
      <c r="K26" s="521">
        <v>4800</v>
      </c>
      <c r="L26" s="522">
        <v>4900</v>
      </c>
    </row>
    <row r="27" spans="2:12" s="100" customFormat="1" ht="15" customHeight="1" outlineLevel="1">
      <c r="B27" s="317" t="str">
        <f>$B$13</f>
        <v>Base Case</v>
      </c>
      <c r="C27" s="311"/>
      <c r="D27" s="311"/>
      <c r="E27" s="311"/>
      <c r="F27" s="311"/>
      <c r="G27" s="523">
        <v>4550</v>
      </c>
      <c r="H27" s="519">
        <v>4700</v>
      </c>
      <c r="I27" s="519">
        <v>4850</v>
      </c>
      <c r="J27" s="519">
        <v>5000</v>
      </c>
      <c r="K27" s="519">
        <v>5125</v>
      </c>
      <c r="L27" s="524">
        <v>5300</v>
      </c>
    </row>
    <row r="28" spans="2:12" s="100" customFormat="1" ht="15" customHeight="1" outlineLevel="1">
      <c r="B28" s="317" t="str">
        <f>$B$14</f>
        <v>Worst Case</v>
      </c>
      <c r="C28" s="311"/>
      <c r="D28" s="311"/>
      <c r="E28" s="311"/>
      <c r="F28" s="311"/>
      <c r="G28" s="525">
        <v>5000</v>
      </c>
      <c r="H28" s="526">
        <v>5200</v>
      </c>
      <c r="I28" s="526">
        <v>5400</v>
      </c>
      <c r="J28" s="526">
        <v>5500</v>
      </c>
      <c r="K28" s="526">
        <v>5600</v>
      </c>
      <c r="L28" s="527">
        <v>5800</v>
      </c>
    </row>
    <row r="29" spans="2:12" s="100" customFormat="1" ht="15" customHeight="1" outlineLevel="1">
      <c r="B29" s="103"/>
      <c r="C29" s="103"/>
      <c r="D29" s="103"/>
      <c r="E29" s="103"/>
      <c r="F29" s="103"/>
      <c r="G29" s="103"/>
      <c r="H29" s="103"/>
      <c r="I29" s="103"/>
      <c r="J29" s="103"/>
      <c r="K29" s="103"/>
      <c r="L29" s="103"/>
    </row>
    <row r="30" spans="2:12" s="100" customFormat="1" ht="15" customHeight="1" outlineLevel="1"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</row>
    <row r="31" spans="2:12" s="100" customFormat="1" ht="15" customHeight="1" outlineLevel="1">
      <c r="B31" s="279" t="s">
        <v>162</v>
      </c>
      <c r="C31" s="125"/>
      <c r="D31" s="125"/>
      <c r="E31" s="125"/>
      <c r="F31" s="125"/>
      <c r="G31" s="528">
        <v>3.5000000000000003E-2</v>
      </c>
      <c r="H31" s="529">
        <v>0.03</v>
      </c>
      <c r="I31" s="529">
        <v>0.03</v>
      </c>
      <c r="J31" s="529">
        <v>2.5000000000000001E-2</v>
      </c>
      <c r="K31" s="529">
        <v>2.5000000000000001E-2</v>
      </c>
      <c r="L31" s="530">
        <v>1.4999999999999999E-2</v>
      </c>
    </row>
    <row r="32" spans="2:12" s="100" customFormat="1" ht="15" customHeight="1" outlineLevel="1">
      <c r="B32" s="14"/>
      <c r="C32" s="125"/>
      <c r="D32" s="125"/>
      <c r="E32" s="125"/>
      <c r="F32" s="125"/>
      <c r="G32" s="518"/>
      <c r="H32" s="518"/>
      <c r="I32" s="518"/>
      <c r="J32" s="518"/>
      <c r="K32" s="518"/>
      <c r="L32" s="518"/>
    </row>
    <row r="33" spans="1:13" s="100" customFormat="1" ht="15" customHeight="1" outlineLevel="1">
      <c r="B33" s="14"/>
      <c r="C33" s="125"/>
      <c r="D33" s="125"/>
      <c r="E33" s="125"/>
      <c r="F33" s="125"/>
      <c r="G33" s="518"/>
      <c r="H33" s="518"/>
      <c r="I33" s="518"/>
      <c r="J33" s="518"/>
      <c r="K33" s="518"/>
      <c r="L33" s="518"/>
    </row>
    <row r="34" spans="1:13" s="100" customFormat="1" ht="15" customHeight="1" outlineLevel="1">
      <c r="B34" s="279" t="s">
        <v>253</v>
      </c>
      <c r="C34" s="103"/>
      <c r="D34" s="103"/>
      <c r="E34" s="103"/>
      <c r="F34" s="103"/>
      <c r="G34" s="103"/>
      <c r="H34" s="103"/>
      <c r="I34" s="103"/>
      <c r="J34" s="103"/>
      <c r="K34" s="103"/>
      <c r="L34" s="103"/>
    </row>
    <row r="35" spans="1:13" s="100" customFormat="1" ht="15" customHeight="1" outlineLevel="1">
      <c r="B35" s="285" t="s">
        <v>4</v>
      </c>
      <c r="C35" s="103"/>
      <c r="D35" s="103"/>
      <c r="E35" s="191" t="s">
        <v>5</v>
      </c>
      <c r="F35" s="103"/>
      <c r="G35" s="520">
        <v>45</v>
      </c>
      <c r="H35" s="521">
        <v>45</v>
      </c>
      <c r="I35" s="521">
        <v>45</v>
      </c>
      <c r="J35" s="521">
        <v>45</v>
      </c>
      <c r="K35" s="521">
        <v>45</v>
      </c>
      <c r="L35" s="446">
        <f>K35</f>
        <v>45</v>
      </c>
    </row>
    <row r="36" spans="1:13" s="100" customFormat="1" ht="15" customHeight="1" outlineLevel="1">
      <c r="B36" s="285" t="s">
        <v>6</v>
      </c>
      <c r="C36" s="103"/>
      <c r="D36" s="103"/>
      <c r="E36" s="191" t="s">
        <v>5</v>
      </c>
      <c r="F36" s="103"/>
      <c r="G36" s="523">
        <v>25</v>
      </c>
      <c r="H36" s="519">
        <v>25</v>
      </c>
      <c r="I36" s="519">
        <v>25</v>
      </c>
      <c r="J36" s="519">
        <v>25</v>
      </c>
      <c r="K36" s="519">
        <v>25</v>
      </c>
      <c r="L36" s="447">
        <f>K36</f>
        <v>25</v>
      </c>
    </row>
    <row r="37" spans="1:13" s="100" customFormat="1" ht="15" customHeight="1" outlineLevel="1">
      <c r="B37" s="285" t="s">
        <v>7</v>
      </c>
      <c r="C37" s="103"/>
      <c r="D37" s="103"/>
      <c r="E37" s="191" t="s">
        <v>5</v>
      </c>
      <c r="F37" s="103"/>
      <c r="G37" s="525">
        <v>40</v>
      </c>
      <c r="H37" s="526">
        <v>40</v>
      </c>
      <c r="I37" s="526">
        <v>40</v>
      </c>
      <c r="J37" s="526">
        <v>40</v>
      </c>
      <c r="K37" s="526">
        <v>40</v>
      </c>
      <c r="L37" s="448">
        <f>K37</f>
        <v>40</v>
      </c>
    </row>
    <row r="38" spans="1:13" s="100" customFormat="1" ht="15" customHeight="1" outlineLevel="1">
      <c r="C38" s="103"/>
      <c r="D38" s="103"/>
      <c r="E38" s="103"/>
      <c r="F38" s="103"/>
      <c r="G38" s="103"/>
      <c r="H38" s="103"/>
      <c r="I38" s="103"/>
      <c r="J38" s="103"/>
      <c r="K38" s="103"/>
      <c r="L38" s="103"/>
    </row>
    <row r="39" spans="1:13" s="100" customFormat="1" ht="15" customHeight="1" outlineLevel="1">
      <c r="B39" s="506"/>
      <c r="C39" s="103"/>
      <c r="D39" s="103"/>
      <c r="E39" s="103"/>
      <c r="F39" s="103"/>
      <c r="G39" s="103"/>
      <c r="H39" s="103"/>
      <c r="I39" s="103"/>
      <c r="J39" s="103"/>
      <c r="K39" s="103"/>
      <c r="L39" s="103"/>
    </row>
    <row r="40" spans="1:13" s="5" customFormat="1" ht="15" customHeight="1" outlineLevel="1">
      <c r="C40" s="6"/>
      <c r="D40" s="10"/>
      <c r="E40" s="10"/>
      <c r="F40" s="10"/>
      <c r="G40" s="10"/>
      <c r="H40" s="10"/>
      <c r="I40" s="37"/>
      <c r="J40" s="37"/>
      <c r="K40" s="37"/>
      <c r="L40" s="255" t="s">
        <v>210</v>
      </c>
    </row>
    <row r="41" spans="1:13" s="100" customFormat="1" ht="15" customHeight="1" outlineLevel="1">
      <c r="B41" s="311"/>
      <c r="C41" s="311"/>
      <c r="D41" s="311"/>
      <c r="E41" s="311"/>
      <c r="F41" s="311"/>
      <c r="G41" s="311"/>
      <c r="H41" s="531"/>
      <c r="I41" s="531"/>
      <c r="J41" s="531"/>
      <c r="K41" s="531"/>
      <c r="L41" s="531"/>
      <c r="M41" s="104"/>
    </row>
    <row r="42" spans="1:13" s="100" customFormat="1" ht="15" customHeight="1" outlineLevel="1">
      <c r="B42" s="318"/>
      <c r="C42" s="318"/>
      <c r="D42" s="318"/>
      <c r="E42" s="318"/>
      <c r="F42" s="318"/>
      <c r="G42" s="318"/>
      <c r="H42" s="532"/>
      <c r="I42" s="532"/>
      <c r="J42" s="532"/>
      <c r="K42" s="532"/>
      <c r="L42" s="532"/>
      <c r="M42" s="104"/>
    </row>
    <row r="43" spans="1:13" s="100" customFormat="1" ht="15" customHeight="1">
      <c r="B43" s="311"/>
      <c r="C43" s="311"/>
      <c r="D43" s="311"/>
      <c r="E43" s="311"/>
      <c r="F43" s="311"/>
      <c r="G43" s="311"/>
      <c r="H43" s="531"/>
      <c r="I43" s="531"/>
      <c r="J43" s="531"/>
      <c r="K43" s="531"/>
      <c r="L43" s="531"/>
      <c r="M43" s="104"/>
    </row>
    <row r="44" spans="1:13" ht="15" customHeight="1">
      <c r="A44" s="5" t="s">
        <v>151</v>
      </c>
      <c r="B44" s="505" t="s">
        <v>87</v>
      </c>
      <c r="C44" s="489"/>
      <c r="D44" s="489"/>
      <c r="E44" s="489"/>
      <c r="F44" s="490"/>
      <c r="G44" s="491"/>
      <c r="H44" s="491"/>
      <c r="I44" s="491"/>
      <c r="J44" s="491"/>
      <c r="K44" s="491"/>
      <c r="L44" s="491"/>
      <c r="M44" s="8"/>
    </row>
    <row r="45" spans="1:13" ht="15" customHeight="1" outlineLevel="1">
      <c r="A45" s="5"/>
      <c r="B45" s="506"/>
      <c r="C45" s="6"/>
      <c r="D45" s="6"/>
      <c r="E45" s="6"/>
      <c r="F45" s="7"/>
      <c r="G45" s="8"/>
      <c r="H45" s="8"/>
      <c r="I45" s="8"/>
      <c r="J45" s="8"/>
      <c r="K45" s="8"/>
      <c r="L45" s="8"/>
      <c r="M45" s="8"/>
    </row>
    <row r="46" spans="1:13" ht="15" customHeight="1" outlineLevel="1">
      <c r="A46" s="5"/>
      <c r="B46" s="9" t="s">
        <v>22</v>
      </c>
      <c r="C46" s="6"/>
      <c r="D46" s="6"/>
      <c r="E46" s="6"/>
      <c r="F46" s="10"/>
      <c r="G46" s="10"/>
      <c r="H46" s="10"/>
      <c r="I46" s="37"/>
      <c r="J46" s="37"/>
      <c r="K46" s="37"/>
      <c r="L46" s="37"/>
      <c r="M46" s="37"/>
    </row>
    <row r="47" spans="1:13" ht="15" customHeight="1" outlineLevel="1">
      <c r="A47" s="5"/>
      <c r="C47" s="6"/>
      <c r="D47" s="6"/>
      <c r="E47" s="6"/>
      <c r="F47" s="10"/>
      <c r="G47" s="26"/>
      <c r="H47" s="26"/>
      <c r="I47" s="71"/>
      <c r="J47" s="71"/>
      <c r="K47" s="71"/>
      <c r="L47" s="71"/>
      <c r="M47" s="71"/>
    </row>
    <row r="48" spans="1:13" ht="15" customHeight="1" outlineLevel="1">
      <c r="A48" s="5"/>
      <c r="B48" s="319"/>
      <c r="C48" s="74"/>
      <c r="D48" s="74"/>
      <c r="E48" s="74"/>
      <c r="F48" s="533"/>
      <c r="G48" s="534"/>
      <c r="H48" s="236" t="s">
        <v>33</v>
      </c>
      <c r="I48" s="246" t="s">
        <v>101</v>
      </c>
      <c r="J48" s="246" t="s">
        <v>101</v>
      </c>
      <c r="K48" s="236" t="s">
        <v>103</v>
      </c>
      <c r="L48" s="76" t="s">
        <v>104</v>
      </c>
    </row>
    <row r="49" spans="1:13" ht="21.75" customHeight="1" outlineLevel="1" thickBot="1">
      <c r="A49" s="5"/>
      <c r="B49" s="14" t="s">
        <v>97</v>
      </c>
      <c r="C49" s="14"/>
      <c r="D49" s="265" t="s">
        <v>98</v>
      </c>
      <c r="E49" s="14"/>
      <c r="F49" s="188" t="s">
        <v>99</v>
      </c>
      <c r="G49" s="188" t="s">
        <v>100</v>
      </c>
      <c r="H49" s="242" t="s">
        <v>254</v>
      </c>
      <c r="I49" s="247" t="s">
        <v>100</v>
      </c>
      <c r="J49" s="247" t="s">
        <v>102</v>
      </c>
      <c r="K49" s="242" t="s">
        <v>255</v>
      </c>
      <c r="L49" s="242" t="s">
        <v>256</v>
      </c>
    </row>
    <row r="50" spans="1:13" ht="15" customHeight="1" outlineLevel="1">
      <c r="A50" s="5"/>
      <c r="B50" s="240"/>
      <c r="C50" s="240"/>
      <c r="D50" s="240"/>
      <c r="E50" s="240"/>
      <c r="F50" s="241"/>
      <c r="G50" s="241"/>
      <c r="H50" s="243"/>
      <c r="I50" s="248"/>
      <c r="J50" s="248"/>
      <c r="K50" s="244"/>
      <c r="L50" s="241"/>
    </row>
    <row r="51" spans="1:13" ht="15" customHeight="1" outlineLevel="1">
      <c r="A51" s="5"/>
      <c r="B51" s="284" t="s">
        <v>175</v>
      </c>
      <c r="C51" s="219"/>
      <c r="D51" s="535" t="s">
        <v>166</v>
      </c>
      <c r="E51" s="535"/>
      <c r="F51" s="519">
        <v>63702</v>
      </c>
      <c r="G51" s="519">
        <v>375499.31244000001</v>
      </c>
      <c r="H51" s="536">
        <v>0.315</v>
      </c>
      <c r="I51" s="428">
        <f>F51/G51</f>
        <v>0.16964611622339193</v>
      </c>
      <c r="J51" s="428">
        <f>F51/(F51+G51)</f>
        <v>0.14504055018893514</v>
      </c>
      <c r="K51" s="537">
        <v>0.85</v>
      </c>
      <c r="L51" s="237">
        <f>K51/(1+(1-H51)*I51)</f>
        <v>0.76150709591097243</v>
      </c>
    </row>
    <row r="52" spans="1:13" ht="15" customHeight="1" outlineLevel="1">
      <c r="A52" s="5"/>
      <c r="B52" s="284" t="s">
        <v>174</v>
      </c>
      <c r="C52" s="219"/>
      <c r="D52" s="535" t="s">
        <v>166</v>
      </c>
      <c r="E52" s="535"/>
      <c r="F52" s="519">
        <v>43422</v>
      </c>
      <c r="G52" s="519">
        <v>311425.20292000001</v>
      </c>
      <c r="H52" s="536">
        <v>0.32200000000000001</v>
      </c>
      <c r="I52" s="428">
        <f>F52/G52</f>
        <v>0.13942994848478718</v>
      </c>
      <c r="J52" s="428">
        <f>F52/(F52+G52)</f>
        <v>0.12236816196572768</v>
      </c>
      <c r="K52" s="537">
        <v>1.01098</v>
      </c>
      <c r="L52" s="237">
        <f>K52/(1+(1-H52)*I52)</f>
        <v>0.92366290781830651</v>
      </c>
    </row>
    <row r="53" spans="1:13" ht="15" customHeight="1" outlineLevel="1">
      <c r="A53" s="5"/>
      <c r="B53" s="284" t="s">
        <v>182</v>
      </c>
      <c r="C53" s="219"/>
      <c r="D53" s="535" t="s">
        <v>166</v>
      </c>
      <c r="E53" s="535"/>
      <c r="F53" s="519">
        <v>26211</v>
      </c>
      <c r="G53" s="519">
        <v>131995.55592000001</v>
      </c>
      <c r="H53" s="536">
        <v>0.31900000000000001</v>
      </c>
      <c r="I53" s="428">
        <f>F53/G53</f>
        <v>0.19857486729239571</v>
      </c>
      <c r="J53" s="428">
        <f>F53/(F53+G53)</f>
        <v>0.16567581442866416</v>
      </c>
      <c r="K53" s="537">
        <v>1.3357300000000001</v>
      </c>
      <c r="L53" s="237">
        <f>K53/(1+(1-H53)*I53)</f>
        <v>1.1766167264761553</v>
      </c>
    </row>
    <row r="54" spans="1:13" ht="15" customHeight="1" outlineLevel="1">
      <c r="A54" s="5"/>
      <c r="B54" s="284" t="s">
        <v>176</v>
      </c>
      <c r="C54" s="219"/>
      <c r="D54" s="535" t="s">
        <v>166</v>
      </c>
      <c r="E54" s="535"/>
      <c r="F54" s="519">
        <v>15109</v>
      </c>
      <c r="G54" s="519">
        <v>95746.137521500015</v>
      </c>
      <c r="H54" s="536">
        <v>0.33</v>
      </c>
      <c r="I54" s="428">
        <f>F54/G54</f>
        <v>0.15780271028277501</v>
      </c>
      <c r="J54" s="428">
        <f>F54/(F54+G54)</f>
        <v>0.13629499126343744</v>
      </c>
      <c r="K54" s="537">
        <v>0.99399000000000004</v>
      </c>
      <c r="L54" s="237">
        <f>K54/(1+(1-H54)*I54)</f>
        <v>0.89894636430071528</v>
      </c>
    </row>
    <row r="55" spans="1:13" ht="15" customHeight="1" outlineLevel="1">
      <c r="A55" s="5"/>
      <c r="B55" s="223" t="s">
        <v>177</v>
      </c>
      <c r="C55" s="223"/>
      <c r="D55" s="538" t="s">
        <v>166</v>
      </c>
      <c r="E55" s="538"/>
      <c r="F55" s="539">
        <v>95234</v>
      </c>
      <c r="G55" s="539">
        <v>666540.62970659998</v>
      </c>
      <c r="H55" s="540">
        <v>0.30199999999999999</v>
      </c>
      <c r="I55" s="429">
        <f>F55/G55</f>
        <v>0.14287801186541382</v>
      </c>
      <c r="J55" s="429">
        <f>F55/(F55+G55)</f>
        <v>0.12501597754270144</v>
      </c>
      <c r="K55" s="541">
        <v>0.88324000000000003</v>
      </c>
      <c r="L55" s="396">
        <f>K55/(1+(1-H55)*I55)</f>
        <v>0.80314342773419056</v>
      </c>
    </row>
    <row r="56" spans="1:13" ht="15" customHeight="1" outlineLevel="1">
      <c r="A56" s="5"/>
      <c r="C56" s="44"/>
      <c r="D56" s="12"/>
      <c r="E56" s="12"/>
      <c r="F56" s="519"/>
      <c r="G56" s="519"/>
      <c r="H56" s="513"/>
      <c r="I56" s="249"/>
      <c r="J56" s="249"/>
      <c r="K56" s="542"/>
      <c r="L56" s="237"/>
    </row>
    <row r="57" spans="1:13" ht="15" customHeight="1" outlineLevel="1">
      <c r="A57" s="5"/>
      <c r="B57" s="9"/>
      <c r="C57" s="6"/>
      <c r="D57" s="6"/>
      <c r="E57" s="6"/>
      <c r="F57" s="10"/>
      <c r="G57" s="238" t="s">
        <v>33</v>
      </c>
      <c r="H57" s="391">
        <f>AVERAGE(H51:H55)</f>
        <v>0.31759999999999999</v>
      </c>
      <c r="I57" s="392">
        <f>AVERAGE(I51:I55)</f>
        <v>0.16166633082975274</v>
      </c>
      <c r="J57" s="392">
        <f>AVERAGE(J51:J55)</f>
        <v>0.13887909907789317</v>
      </c>
      <c r="K57" s="393">
        <f>AVERAGE(K51:K55)</f>
        <v>1.014788</v>
      </c>
      <c r="L57" s="393">
        <f>AVERAGE(L51:L55)</f>
        <v>0.91277530444806809</v>
      </c>
    </row>
    <row r="58" spans="1:13" ht="15" customHeight="1" outlineLevel="1">
      <c r="A58" s="5"/>
      <c r="B58" s="9"/>
      <c r="C58" s="6"/>
      <c r="D58" s="6"/>
      <c r="E58" s="6"/>
      <c r="F58" s="10"/>
      <c r="G58" s="239" t="s">
        <v>105</v>
      </c>
      <c r="H58" s="394">
        <f>MEDIAN(H51:H55)</f>
        <v>0.31900000000000001</v>
      </c>
      <c r="I58" s="395">
        <f>MEDIAN(I51:I55)</f>
        <v>0.15780271028277501</v>
      </c>
      <c r="J58" s="395">
        <f>MEDIAN(J51:J55)</f>
        <v>0.13629499126343744</v>
      </c>
      <c r="K58" s="396">
        <f>MEDIAN(K51:K55)</f>
        <v>0.99399000000000004</v>
      </c>
      <c r="L58" s="396">
        <f>MEDIAN(L51:L55)</f>
        <v>0.89894636430071528</v>
      </c>
    </row>
    <row r="59" spans="1:13" ht="15" customHeight="1" outlineLevel="1">
      <c r="A59" s="5"/>
      <c r="B59" s="9"/>
      <c r="C59" s="6"/>
      <c r="D59" s="6"/>
      <c r="E59" s="6"/>
      <c r="F59" s="10"/>
      <c r="G59" s="10"/>
      <c r="H59" s="72"/>
      <c r="I59" s="119"/>
      <c r="J59" s="119"/>
      <c r="K59" s="73"/>
      <c r="L59" s="73"/>
    </row>
    <row r="60" spans="1:13" ht="15" customHeight="1" outlineLevel="1">
      <c r="A60" s="5"/>
      <c r="B60" s="12"/>
      <c r="C60" s="6"/>
      <c r="D60" s="6"/>
      <c r="E60" s="6"/>
      <c r="F60" s="118"/>
      <c r="G60" s="543"/>
      <c r="H60" s="543"/>
      <c r="I60" s="70"/>
      <c r="J60" s="70"/>
      <c r="K60" s="70"/>
      <c r="L60" s="70"/>
      <c r="M60" s="70"/>
    </row>
    <row r="61" spans="1:13" ht="15" customHeight="1" outlineLevel="1">
      <c r="A61" s="5"/>
      <c r="B61" s="75" t="s">
        <v>117</v>
      </c>
      <c r="C61" s="143"/>
      <c r="D61" s="143"/>
      <c r="E61" s="143"/>
      <c r="F61" s="30"/>
      <c r="H61" s="75" t="s">
        <v>110</v>
      </c>
      <c r="I61" s="320"/>
      <c r="J61" s="143"/>
      <c r="K61" s="320"/>
      <c r="L61" s="30"/>
    </row>
    <row r="62" spans="1:13" s="11" customFormat="1" ht="15" customHeight="1" outlineLevel="1">
      <c r="B62" s="152"/>
      <c r="C62" s="152"/>
      <c r="D62" s="152"/>
      <c r="E62" s="152"/>
      <c r="F62" s="152"/>
      <c r="H62" s="152"/>
      <c r="I62" s="152"/>
      <c r="J62" s="152"/>
      <c r="K62" s="152"/>
      <c r="L62" s="152"/>
    </row>
    <row r="63" spans="1:13" s="11" customFormat="1" ht="15" customHeight="1" outlineLevel="1">
      <c r="B63" s="98" t="s">
        <v>236</v>
      </c>
      <c r="C63" s="99"/>
      <c r="D63" s="139"/>
      <c r="E63" s="139"/>
      <c r="F63" s="513">
        <v>4.7E-2</v>
      </c>
      <c r="H63" s="98" t="s">
        <v>111</v>
      </c>
      <c r="I63" s="99"/>
      <c r="J63" s="99"/>
      <c r="K63" s="99"/>
      <c r="L63" s="513">
        <v>2.4E-2</v>
      </c>
    </row>
    <row r="64" spans="1:13" ht="15" customHeight="1" outlineLevel="1">
      <c r="A64" s="5"/>
      <c r="B64" s="98" t="s">
        <v>167</v>
      </c>
      <c r="F64" s="32">
        <f>$L$57</f>
        <v>0.91277530444806809</v>
      </c>
      <c r="H64" s="98" t="s">
        <v>237</v>
      </c>
      <c r="J64" s="11"/>
      <c r="L64" s="72">
        <f>F66</f>
        <v>4.8199905341354751E-2</v>
      </c>
    </row>
    <row r="65" spans="1:12" ht="15" customHeight="1" outlineLevel="1">
      <c r="A65" s="5"/>
      <c r="B65" s="291" t="s">
        <v>257</v>
      </c>
      <c r="F65" s="425">
        <f>F64*(1+(1-L73)*F77)</f>
        <v>1.0255299008798884</v>
      </c>
      <c r="H65" s="98" t="s">
        <v>238</v>
      </c>
      <c r="L65" s="516">
        <v>3.5999999999999997E-2</v>
      </c>
    </row>
    <row r="66" spans="1:12" ht="15" customHeight="1" outlineLevel="1">
      <c r="A66" s="5"/>
      <c r="B66" s="98" t="s">
        <v>237</v>
      </c>
      <c r="F66" s="72">
        <f>F63*F65</f>
        <v>4.8199905341354751E-2</v>
      </c>
      <c r="H66" s="98" t="s">
        <v>110</v>
      </c>
      <c r="J66" s="11"/>
      <c r="L66" s="72">
        <f>SUM(L63:L65)</f>
        <v>0.10819990534135476</v>
      </c>
    </row>
    <row r="67" spans="1:12" ht="15" customHeight="1" outlineLevel="1">
      <c r="A67" s="5"/>
    </row>
    <row r="68" spans="1:12" s="11" customFormat="1" ht="15" customHeight="1" outlineLevel="1"/>
    <row r="69" spans="1:12" s="11" customFormat="1" ht="15" customHeight="1" outlineLevel="1">
      <c r="I69" s="18"/>
      <c r="K69" s="18"/>
      <c r="L69" s="18"/>
    </row>
    <row r="70" spans="1:12" ht="15" customHeight="1" outlineLevel="1">
      <c r="A70" s="5"/>
      <c r="B70" s="75" t="s">
        <v>146</v>
      </c>
      <c r="C70" s="143"/>
      <c r="D70" s="143"/>
      <c r="E70" s="178"/>
      <c r="F70" s="178"/>
      <c r="H70" s="75" t="s">
        <v>107</v>
      </c>
      <c r="I70" s="143"/>
      <c r="J70" s="143"/>
      <c r="K70" s="143"/>
      <c r="L70" s="30"/>
    </row>
    <row r="71" spans="1:12" ht="15" customHeight="1" outlineLevel="1">
      <c r="A71" s="5"/>
      <c r="C71" s="152"/>
      <c r="D71" s="152"/>
      <c r="E71" s="152"/>
      <c r="F71" s="152"/>
      <c r="H71" s="152"/>
      <c r="I71" s="152"/>
      <c r="J71" s="152"/>
      <c r="K71" s="152"/>
      <c r="L71" s="152"/>
    </row>
    <row r="72" spans="1:12" ht="15" customHeight="1" outlineLevel="1" thickBot="1">
      <c r="A72" s="5"/>
      <c r="B72" s="9"/>
      <c r="E72" s="334" t="s">
        <v>148</v>
      </c>
      <c r="F72" s="334" t="s">
        <v>145</v>
      </c>
      <c r="H72" s="98" t="s">
        <v>108</v>
      </c>
      <c r="I72" s="11"/>
      <c r="K72" s="11"/>
      <c r="L72" s="513">
        <v>5.1999999999999998E-2</v>
      </c>
    </row>
    <row r="73" spans="1:12" ht="15" customHeight="1" outlineLevel="1">
      <c r="A73" s="5"/>
      <c r="B73" s="98" t="s">
        <v>106</v>
      </c>
      <c r="C73" s="11"/>
      <c r="D73" s="544">
        <v>19102</v>
      </c>
      <c r="E73" s="72">
        <f>D73/$D$75</f>
        <v>0.13153654404979961</v>
      </c>
      <c r="F73" s="513">
        <v>0.15</v>
      </c>
      <c r="H73" s="98" t="s">
        <v>53</v>
      </c>
      <c r="L73" s="516">
        <v>0.3</v>
      </c>
    </row>
    <row r="74" spans="1:12" ht="15" customHeight="1" outlineLevel="1">
      <c r="A74" s="5"/>
      <c r="B74" s="98" t="s">
        <v>113</v>
      </c>
      <c r="D74" s="545">
        <v>126120</v>
      </c>
      <c r="E74" s="426">
        <f>D74/$D$75</f>
        <v>0.86846345595020036</v>
      </c>
      <c r="F74" s="426">
        <f>1-F73</f>
        <v>0.85</v>
      </c>
      <c r="H74" s="98" t="s">
        <v>109</v>
      </c>
      <c r="L74" s="72">
        <f>L72*(1-L73)</f>
        <v>3.6399999999999995E-2</v>
      </c>
    </row>
    <row r="75" spans="1:12" ht="15" customHeight="1" outlineLevel="1">
      <c r="A75" s="5"/>
      <c r="B75" s="98" t="s">
        <v>114</v>
      </c>
      <c r="D75" s="77">
        <f>SUM(D73:D74)</f>
        <v>145222</v>
      </c>
      <c r="E75" s="72">
        <f>SUM(E73:E74)</f>
        <v>1</v>
      </c>
      <c r="F75" s="72">
        <f>SUM(F73:F74)</f>
        <v>1</v>
      </c>
    </row>
    <row r="76" spans="1:12" ht="15" customHeight="1" outlineLevel="1">
      <c r="A76" s="5"/>
      <c r="F76" s="10"/>
    </row>
    <row r="77" spans="1:12" ht="15" customHeight="1" outlineLevel="1">
      <c r="A77" s="5"/>
      <c r="B77" s="286" t="s">
        <v>149</v>
      </c>
      <c r="C77" s="321"/>
      <c r="D77" s="321"/>
      <c r="E77" s="427">
        <f>E73/E74</f>
        <v>0.15145892800507454</v>
      </c>
      <c r="F77" s="427">
        <f>F73/F74</f>
        <v>0.17647058823529413</v>
      </c>
      <c r="H77" s="75" t="s">
        <v>87</v>
      </c>
      <c r="I77" s="320"/>
      <c r="J77" s="143"/>
      <c r="K77" s="30"/>
      <c r="L77" s="143"/>
    </row>
    <row r="78" spans="1:12" s="11" customFormat="1" ht="15" customHeight="1" outlineLevel="1">
      <c r="B78" s="14"/>
      <c r="C78" s="99"/>
      <c r="D78" s="99"/>
      <c r="E78" s="99"/>
      <c r="F78" s="99"/>
      <c r="G78" s="6"/>
      <c r="H78" s="152"/>
      <c r="I78" s="152"/>
      <c r="J78" s="152"/>
      <c r="K78" s="152"/>
      <c r="L78" s="152"/>
    </row>
    <row r="79" spans="1:12" s="11" customFormat="1" ht="15" customHeight="1" outlineLevel="1" thickBot="1">
      <c r="B79" s="12"/>
      <c r="C79" s="99"/>
      <c r="D79" s="99"/>
      <c r="E79" s="99"/>
      <c r="F79" s="99"/>
      <c r="G79" s="6"/>
      <c r="K79" s="334" t="s">
        <v>143</v>
      </c>
      <c r="L79" s="334" t="s">
        <v>112</v>
      </c>
    </row>
    <row r="80" spans="1:12" ht="15" customHeight="1" outlineLevel="1">
      <c r="A80" s="5"/>
      <c r="B80" s="287" t="s">
        <v>211</v>
      </c>
      <c r="C80" s="11"/>
      <c r="D80" s="78"/>
      <c r="E80" s="78"/>
      <c r="F80" s="78"/>
      <c r="H80" s="98" t="s">
        <v>115</v>
      </c>
      <c r="J80" s="11"/>
      <c r="K80" s="72">
        <f>F73</f>
        <v>0.15</v>
      </c>
      <c r="L80" s="72">
        <f>L74</f>
        <v>3.6399999999999995E-2</v>
      </c>
    </row>
    <row r="81" spans="1:13" ht="15" customHeight="1" outlineLevel="1">
      <c r="A81" s="5"/>
      <c r="B81" s="288" t="s">
        <v>212</v>
      </c>
      <c r="C81" s="11"/>
      <c r="D81" s="78"/>
      <c r="E81" s="78"/>
      <c r="F81" s="78"/>
      <c r="H81" s="98" t="s">
        <v>116</v>
      </c>
      <c r="K81" s="72">
        <f>F74</f>
        <v>0.85</v>
      </c>
      <c r="L81" s="72">
        <f>L66</f>
        <v>0.10819990534135476</v>
      </c>
    </row>
    <row r="82" spans="1:13" ht="15" customHeight="1" outlineLevel="1">
      <c r="A82" s="5"/>
      <c r="B82" s="289" t="s">
        <v>213</v>
      </c>
    </row>
    <row r="83" spans="1:13" ht="15" customHeight="1" outlineLevel="1">
      <c r="B83" s="290" t="s">
        <v>214</v>
      </c>
      <c r="H83" s="11"/>
      <c r="I83" s="11"/>
      <c r="J83" s="11"/>
      <c r="K83" s="11"/>
      <c r="L83" s="423"/>
    </row>
    <row r="84" spans="1:13" s="11" customFormat="1" ht="15" customHeight="1" outlineLevel="1" thickBot="1">
      <c r="B84" s="13"/>
      <c r="H84" s="98" t="s">
        <v>87</v>
      </c>
      <c r="I84" s="99"/>
      <c r="J84" s="99"/>
      <c r="L84" s="424">
        <f>SUMPRODUCT(K80:K81,L80:L81)</f>
        <v>9.7429919540151538E-2</v>
      </c>
    </row>
    <row r="85" spans="1:13" ht="15" customHeight="1" outlineLevel="1"/>
    <row r="86" spans="1:13" s="100" customFormat="1" ht="15" customHeight="1" outlineLevel="1">
      <c r="B86" s="318"/>
      <c r="C86" s="318"/>
      <c r="D86" s="318"/>
      <c r="E86" s="318"/>
      <c r="F86" s="318"/>
      <c r="G86" s="318"/>
      <c r="H86" s="532"/>
      <c r="I86" s="532"/>
      <c r="J86" s="532"/>
      <c r="K86" s="532"/>
      <c r="L86" s="532"/>
      <c r="M86" s="104"/>
    </row>
    <row r="88" spans="1:13" ht="15" customHeight="1">
      <c r="A88" s="1" t="s">
        <v>151</v>
      </c>
      <c r="B88" s="505" t="s">
        <v>178</v>
      </c>
      <c r="C88" s="489"/>
      <c r="D88" s="490"/>
      <c r="E88" s="490"/>
      <c r="F88" s="491"/>
      <c r="G88" s="491"/>
      <c r="H88" s="491"/>
      <c r="I88" s="491"/>
      <c r="J88" s="491"/>
      <c r="K88" s="491"/>
      <c r="L88" s="491"/>
      <c r="M88" s="8"/>
    </row>
    <row r="89" spans="1:13" ht="15" customHeight="1" outlineLevel="1">
      <c r="A89" s="1"/>
      <c r="B89" s="9"/>
      <c r="C89" s="2"/>
      <c r="D89" s="2"/>
      <c r="E89" s="2"/>
      <c r="F89" s="2"/>
      <c r="G89" s="3"/>
      <c r="H89" s="4"/>
      <c r="I89" s="4"/>
      <c r="J89" s="4"/>
      <c r="K89" s="4"/>
      <c r="L89" s="4"/>
      <c r="M89" s="235"/>
    </row>
    <row r="90" spans="1:13" ht="15" customHeight="1" outlineLevel="1">
      <c r="A90" s="5"/>
      <c r="B90" s="9" t="s">
        <v>22</v>
      </c>
      <c r="C90" s="6"/>
      <c r="D90" s="6"/>
      <c r="E90" s="6"/>
      <c r="F90" s="10"/>
      <c r="G90" s="10"/>
      <c r="H90" s="10"/>
      <c r="I90" s="37"/>
      <c r="J90" s="37"/>
      <c r="K90" s="37"/>
      <c r="L90" s="37"/>
      <c r="M90" s="37"/>
    </row>
    <row r="91" spans="1:13" ht="15" customHeight="1" outlineLevel="1">
      <c r="A91" s="5"/>
      <c r="C91" s="6"/>
      <c r="D91" s="6"/>
      <c r="E91" s="6"/>
      <c r="F91" s="10"/>
      <c r="G91" s="26"/>
      <c r="H91" s="26"/>
      <c r="I91" s="71"/>
      <c r="J91" s="71"/>
      <c r="K91" s="71"/>
      <c r="L91" s="71"/>
      <c r="M91" s="71"/>
    </row>
    <row r="92" spans="1:13" ht="15" customHeight="1" outlineLevel="1">
      <c r="A92" s="5"/>
      <c r="C92" s="6"/>
      <c r="D92" s="6"/>
      <c r="E92" s="6"/>
      <c r="F92" s="10"/>
      <c r="G92" s="26"/>
      <c r="H92" s="26"/>
      <c r="I92" s="71"/>
      <c r="J92" s="71"/>
      <c r="K92" s="71"/>
      <c r="L92" s="71"/>
      <c r="M92" s="71"/>
    </row>
    <row r="93" spans="1:13" ht="15" customHeight="1" outlineLevel="1">
      <c r="A93" s="1"/>
      <c r="B93" s="194" t="s">
        <v>179</v>
      </c>
      <c r="C93" s="322"/>
      <c r="D93" s="322"/>
      <c r="E93" s="322"/>
      <c r="F93" s="322"/>
      <c r="G93" s="322"/>
      <c r="H93" s="194" t="str">
        <f>CONCATENATE("End of ",G5-1," Balances")</f>
        <v>End of 2022 Balances</v>
      </c>
    </row>
    <row r="94" spans="1:13" ht="15" customHeight="1" outlineLevel="1">
      <c r="A94" s="1"/>
      <c r="B94" s="323" t="s">
        <v>91</v>
      </c>
      <c r="C94" s="324"/>
      <c r="D94" s="218"/>
      <c r="E94" s="190" t="s">
        <v>95</v>
      </c>
      <c r="F94" s="546">
        <v>45016</v>
      </c>
      <c r="G94" s="322"/>
      <c r="H94" s="324" t="s">
        <v>119</v>
      </c>
      <c r="I94" s="324"/>
      <c r="J94" s="325"/>
      <c r="K94" s="203"/>
      <c r="L94" s="547">
        <v>18642</v>
      </c>
    </row>
    <row r="95" spans="1:13" ht="15" customHeight="1" outlineLevel="1">
      <c r="A95" s="1"/>
      <c r="B95" s="326" t="s">
        <v>147</v>
      </c>
      <c r="C95" s="311"/>
      <c r="D95" s="219"/>
      <c r="E95" s="191" t="s">
        <v>95</v>
      </c>
      <c r="F95" s="548">
        <v>45107</v>
      </c>
      <c r="G95" s="322"/>
      <c r="H95" s="322" t="s">
        <v>129</v>
      </c>
      <c r="I95" s="150"/>
      <c r="J95" s="322"/>
      <c r="L95" s="549">
        <v>65014</v>
      </c>
    </row>
    <row r="96" spans="1:13" ht="15" customHeight="1" outlineLevel="1">
      <c r="A96" s="1"/>
      <c r="B96" s="311" t="s">
        <v>188</v>
      </c>
      <c r="C96" s="219"/>
      <c r="D96" s="219"/>
      <c r="E96" s="191" t="s">
        <v>95</v>
      </c>
      <c r="F96" s="548">
        <v>45291</v>
      </c>
      <c r="G96" s="322"/>
      <c r="H96" s="322" t="s">
        <v>206</v>
      </c>
      <c r="I96" s="150"/>
      <c r="J96" s="150"/>
      <c r="L96" s="549">
        <v>39211</v>
      </c>
    </row>
    <row r="97" spans="1:13" ht="15" customHeight="1" outlineLevel="1">
      <c r="A97" s="1"/>
      <c r="B97" s="311" t="s">
        <v>169</v>
      </c>
      <c r="C97" s="311"/>
      <c r="D97" s="219"/>
      <c r="E97" s="191" t="s">
        <v>204</v>
      </c>
      <c r="F97" s="353">
        <f>YEAR(F96)</f>
        <v>2023</v>
      </c>
      <c r="G97" s="322"/>
      <c r="H97" s="322" t="s">
        <v>207</v>
      </c>
      <c r="I97" s="322"/>
      <c r="J97" s="322"/>
      <c r="L97" s="550">
        <v>24128</v>
      </c>
    </row>
    <row r="98" spans="1:13" ht="15" customHeight="1" outlineLevel="1">
      <c r="A98" s="1"/>
      <c r="B98" s="326" t="s">
        <v>184</v>
      </c>
      <c r="C98" s="219"/>
      <c r="D98" s="219"/>
      <c r="E98" s="219"/>
      <c r="F98" s="354">
        <f>IF(F94&gt;F95,1,0)</f>
        <v>0</v>
      </c>
      <c r="G98" s="149"/>
    </row>
    <row r="99" spans="1:13" ht="15" customHeight="1" outlineLevel="1">
      <c r="A99" s="1"/>
      <c r="B99" s="326" t="s">
        <v>185</v>
      </c>
      <c r="C99" s="311"/>
      <c r="D99" s="311"/>
      <c r="E99" s="219"/>
      <c r="F99" s="354">
        <f>IF(F95&gt;F96,1,0)</f>
        <v>0</v>
      </c>
    </row>
    <row r="100" spans="1:13" ht="15" customHeight="1" outlineLevel="1">
      <c r="A100" s="1"/>
      <c r="B100" s="311" t="s">
        <v>3</v>
      </c>
      <c r="C100" s="220"/>
      <c r="D100" s="220"/>
      <c r="E100" s="219"/>
      <c r="F100" s="544">
        <v>365</v>
      </c>
    </row>
    <row r="101" spans="1:13" ht="15" customHeight="1" outlineLevel="1">
      <c r="A101" s="1"/>
      <c r="B101" s="311"/>
      <c r="C101" s="220"/>
      <c r="D101" s="220"/>
      <c r="E101" s="219"/>
      <c r="F101" s="544"/>
    </row>
    <row r="102" spans="1:13" ht="15" customHeight="1" outlineLevel="1">
      <c r="A102" s="1"/>
    </row>
    <row r="103" spans="1:13" ht="15" customHeight="1" outlineLevel="1">
      <c r="A103" s="1"/>
      <c r="H103" s="208" t="s">
        <v>178</v>
      </c>
      <c r="I103" s="209"/>
      <c r="J103" s="209"/>
      <c r="K103" s="209"/>
      <c r="L103" s="209"/>
    </row>
    <row r="104" spans="1:13" ht="15" customHeight="1" outlineLevel="1">
      <c r="A104" s="1"/>
      <c r="B104" s="194" t="s">
        <v>86</v>
      </c>
      <c r="C104" s="322"/>
      <c r="D104" s="322"/>
      <c r="E104" s="322"/>
      <c r="F104" s="322"/>
      <c r="G104" s="149"/>
      <c r="H104" s="311" t="s">
        <v>12</v>
      </c>
      <c r="I104" s="311"/>
      <c r="J104" s="311"/>
      <c r="K104" s="221" t="s">
        <v>13</v>
      </c>
      <c r="L104" s="549">
        <v>1600</v>
      </c>
    </row>
    <row r="105" spans="1:13" ht="15" customHeight="1" outlineLevel="1">
      <c r="A105" s="1"/>
      <c r="B105" s="324" t="s">
        <v>121</v>
      </c>
      <c r="C105" s="324"/>
      <c r="D105" s="324"/>
      <c r="E105" s="190" t="s">
        <v>156</v>
      </c>
      <c r="F105" s="547">
        <v>34200</v>
      </c>
      <c r="G105" s="149"/>
      <c r="H105" s="311" t="s">
        <v>173</v>
      </c>
      <c r="I105" s="327"/>
      <c r="J105" s="311"/>
      <c r="K105" s="222"/>
      <c r="L105" s="549">
        <v>2520</v>
      </c>
    </row>
    <row r="106" spans="1:13" s="100" customFormat="1" ht="15" customHeight="1" outlineLevel="1">
      <c r="B106" s="124" t="s">
        <v>154</v>
      </c>
      <c r="C106" s="124"/>
      <c r="D106" s="124"/>
      <c r="E106" s="192" t="s">
        <v>157</v>
      </c>
      <c r="F106" s="551">
        <v>2.23</v>
      </c>
      <c r="G106" s="149"/>
      <c r="H106" s="311" t="s">
        <v>73</v>
      </c>
      <c r="I106" s="311"/>
      <c r="J106" s="311"/>
      <c r="K106" s="311"/>
      <c r="L106" s="552">
        <v>0.5</v>
      </c>
      <c r="M106" s="99"/>
    </row>
    <row r="107" spans="1:13" s="100" customFormat="1" ht="15" customHeight="1" outlineLevel="1">
      <c r="B107" s="311" t="s">
        <v>90</v>
      </c>
      <c r="C107" s="311"/>
      <c r="D107" s="311"/>
      <c r="E107" s="219"/>
      <c r="F107" s="553">
        <v>0.02</v>
      </c>
      <c r="G107" s="149"/>
      <c r="H107" s="124" t="s">
        <v>59</v>
      </c>
      <c r="I107" s="224"/>
      <c r="J107" s="225"/>
      <c r="K107" s="226"/>
      <c r="L107" s="554">
        <v>0.15</v>
      </c>
      <c r="M107" s="103"/>
    </row>
    <row r="108" spans="1:13" s="100" customFormat="1" ht="15" customHeight="1" outlineLevel="1">
      <c r="B108" s="311" t="s">
        <v>258</v>
      </c>
      <c r="C108" s="311"/>
      <c r="D108" s="311"/>
      <c r="E108" s="221"/>
      <c r="F108" s="555">
        <v>7</v>
      </c>
      <c r="G108" s="3"/>
      <c r="H108" s="311" t="s">
        <v>72</v>
      </c>
      <c r="I108" s="311"/>
      <c r="J108" s="311"/>
      <c r="K108" s="311"/>
      <c r="L108" s="552">
        <v>0.5</v>
      </c>
      <c r="M108" s="103"/>
    </row>
    <row r="109" spans="1:13" s="100" customFormat="1" ht="15" customHeight="1" outlineLevel="1">
      <c r="B109" s="311" t="s">
        <v>186</v>
      </c>
      <c r="C109" s="311"/>
      <c r="D109" s="311"/>
      <c r="E109" s="219"/>
      <c r="F109" s="421">
        <f>L84</f>
        <v>9.7429919540151538E-2</v>
      </c>
      <c r="G109" s="3"/>
      <c r="H109" s="311" t="s">
        <v>75</v>
      </c>
      <c r="I109" s="311"/>
      <c r="J109" s="311"/>
      <c r="K109" s="221" t="s">
        <v>187</v>
      </c>
      <c r="L109" s="556">
        <v>16</v>
      </c>
      <c r="M109" s="103"/>
    </row>
    <row r="110" spans="1:13" s="100" customFormat="1" ht="15" customHeight="1" outlineLevel="1">
      <c r="B110" s="326" t="s">
        <v>189</v>
      </c>
      <c r="C110" s="224"/>
      <c r="D110" s="225"/>
      <c r="E110" s="226"/>
      <c r="F110" s="422">
        <f>IF(F107&gt;=F109,1,0)</f>
        <v>0</v>
      </c>
      <c r="G110" s="3"/>
      <c r="H110" s="311" t="s">
        <v>76</v>
      </c>
      <c r="I110" s="311"/>
      <c r="J110" s="311"/>
      <c r="K110" s="221" t="s">
        <v>187</v>
      </c>
      <c r="L110" s="556">
        <v>20</v>
      </c>
      <c r="M110" s="103"/>
    </row>
    <row r="111" spans="1:13" s="100" customFormat="1" ht="15" customHeight="1" outlineLevel="1">
      <c r="B111" s="124"/>
      <c r="C111" s="124"/>
      <c r="D111" s="124"/>
      <c r="E111" s="192"/>
      <c r="F111" s="551"/>
      <c r="G111" s="3"/>
      <c r="H111" s="311"/>
      <c r="I111" s="311"/>
      <c r="J111" s="311"/>
      <c r="K111" s="221"/>
      <c r="L111" s="556"/>
      <c r="M111" s="103"/>
    </row>
    <row r="112" spans="1:13" s="100" customFormat="1" ht="15" customHeight="1" outlineLevel="1">
      <c r="G112" s="3"/>
      <c r="H112" s="311"/>
      <c r="I112" s="311"/>
      <c r="J112" s="311"/>
      <c r="K112" s="221"/>
      <c r="L112" s="555"/>
      <c r="M112" s="103"/>
    </row>
    <row r="113" spans="1:12" ht="15" customHeight="1" outlineLevel="1">
      <c r="L113" s="255" t="s">
        <v>231</v>
      </c>
    </row>
    <row r="114" spans="1:12" ht="15" customHeight="1" outlineLevel="1">
      <c r="B114" s="143"/>
      <c r="C114" s="143"/>
      <c r="D114" s="143"/>
      <c r="E114" s="143"/>
      <c r="F114" s="143"/>
      <c r="G114" s="143"/>
      <c r="H114" s="143"/>
      <c r="I114" s="143"/>
      <c r="J114" s="143"/>
      <c r="K114" s="143"/>
      <c r="L114" s="143" t="s">
        <v>151</v>
      </c>
    </row>
    <row r="116" spans="1:12" ht="22.05" customHeight="1">
      <c r="A116" s="591" t="s">
        <v>247</v>
      </c>
      <c r="B116" s="480"/>
      <c r="C116" s="480"/>
      <c r="D116" s="480"/>
      <c r="E116" s="480"/>
      <c r="F116" s="480"/>
      <c r="G116" s="480"/>
      <c r="H116" s="480"/>
      <c r="I116" s="480"/>
      <c r="J116" s="480"/>
      <c r="K116" s="480"/>
      <c r="L116" s="480"/>
    </row>
    <row r="117" spans="1:12" ht="28.05" customHeight="1">
      <c r="A117" s="501" t="s">
        <v>246</v>
      </c>
      <c r="B117" s="480"/>
      <c r="C117" s="480"/>
      <c r="D117" s="480"/>
      <c r="E117" s="480"/>
      <c r="F117" s="480"/>
      <c r="G117" s="480"/>
      <c r="H117" s="480"/>
      <c r="I117" s="480"/>
      <c r="J117" s="480"/>
      <c r="K117" s="480"/>
      <c r="L117" s="480"/>
    </row>
  </sheetData>
  <mergeCells count="3">
    <mergeCell ref="A1:L1"/>
    <mergeCell ref="A116:L116"/>
    <mergeCell ref="A117:L117"/>
  </mergeCells>
  <conditionalFormatting sqref="B109:C109 F109">
    <cfRule type="containsText" dxfId="24" priority="14" operator="containsText" text="OK">
      <formula>NOT(ISERROR(SEARCH("OK",B109)))</formula>
    </cfRule>
    <cfRule type="containsText" dxfId="23" priority="15" operator="containsText" text="ERROR">
      <formula>NOT(ISERROR(SEARCH("ERROR",B109)))</formula>
    </cfRule>
  </conditionalFormatting>
  <conditionalFormatting sqref="F98:F99 F110">
    <cfRule type="expression" dxfId="22" priority="16">
      <formula>F98=1</formula>
    </cfRule>
  </conditionalFormatting>
  <conditionalFormatting sqref="G8:J28 G29:K34 H2:L2 G6:K7 G38:K39 H41:K43 B62:F62 D63:E63 C71:F71 H88:K89 H89:L89 H94:J97 L104 H104:K105 B105:E106 H106:L106 B107:C107 F107 H107:I107 L107 B108:F108 H108:L112 C110 B111:E111">
    <cfRule type="containsText" dxfId="21" priority="37" operator="containsText" text="OK">
      <formula>NOT(ISERROR(SEARCH("OK",B2)))</formula>
    </cfRule>
  </conditionalFormatting>
  <conditionalFormatting sqref="G31:J33">
    <cfRule type="containsText" dxfId="20" priority="27" operator="containsText" text="OK">
      <formula>NOT(ISERROR(SEARCH("OK",G31)))</formula>
    </cfRule>
    <cfRule type="containsText" dxfId="19" priority="28" operator="containsText" text="ERROR">
      <formula>NOT(ISERROR(SEARCH("ERROR",G31)))</formula>
    </cfRule>
  </conditionalFormatting>
  <conditionalFormatting sqref="G35:J37">
    <cfRule type="containsText" dxfId="18" priority="7" operator="containsText" text="OK">
      <formula>NOT(ISERROR(SEARCH("OK",G35)))</formula>
    </cfRule>
    <cfRule type="containsText" dxfId="17" priority="8" operator="containsText" text="ERROR">
      <formula>NOT(ISERROR(SEARCH("ERROR",G35)))</formula>
    </cfRule>
  </conditionalFormatting>
  <conditionalFormatting sqref="G22:K23">
    <cfRule type="containsText" dxfId="16" priority="33" operator="containsText" text="OK">
      <formula>NOT(ISERROR(SEARCH("OK",G22)))</formula>
    </cfRule>
    <cfRule type="containsText" dxfId="15" priority="34" operator="containsText" text="ERROR">
      <formula>NOT(ISERROR(SEARCH("ERROR",G22)))</formula>
    </cfRule>
  </conditionalFormatting>
  <conditionalFormatting sqref="H86:K86">
    <cfRule type="containsText" dxfId="14" priority="1" operator="containsText" text="OK">
      <formula>NOT(ISERROR(SEARCH("OK",H86)))</formula>
    </cfRule>
    <cfRule type="containsText" dxfId="13" priority="2" operator="containsText" text="ERROR">
      <formula>NOT(ISERROR(SEARCH("ERROR",H86)))</formula>
    </cfRule>
  </conditionalFormatting>
  <conditionalFormatting sqref="H2:L2 G6:K7 G8:J28 G29:K34 G38:K39 H41:K43 B62:F62 D63:E63 C71:F71 H88:K89 H89:L89 H94:J97 L104 H104:K105 B105:E106 H106:L106 B107:C107 F107 H107:I107 L107 B108:F108 H108:L112 C110 B111:E111">
    <cfRule type="containsText" dxfId="12" priority="38" operator="containsText" text="ERROR">
      <formula>NOT(ISERROR(SEARCH("ERROR",B2)))</formula>
    </cfRule>
  </conditionalFormatting>
  <conditionalFormatting sqref="H62:L62">
    <cfRule type="containsText" dxfId="11" priority="21" operator="containsText" text="OK">
      <formula>NOT(ISERROR(SEARCH("OK",H62)))</formula>
    </cfRule>
    <cfRule type="containsText" dxfId="10" priority="22" operator="containsText" text="ERROR">
      <formula>NOT(ISERROR(SEARCH("ERROR",H62)))</formula>
    </cfRule>
  </conditionalFormatting>
  <conditionalFormatting sqref="H71:L71">
    <cfRule type="containsText" dxfId="9" priority="19" operator="containsText" text="OK">
      <formula>NOT(ISERROR(SEARCH("OK",H71)))</formula>
    </cfRule>
    <cfRule type="containsText" dxfId="8" priority="20" operator="containsText" text="ERROR">
      <formula>NOT(ISERROR(SEARCH("ERROR",H71)))</formula>
    </cfRule>
  </conditionalFormatting>
  <conditionalFormatting sqref="H78:L78">
    <cfRule type="containsText" dxfId="7" priority="17" operator="containsText" text="OK">
      <formula>NOT(ISERROR(SEARCH("OK",H78)))</formula>
    </cfRule>
    <cfRule type="containsText" dxfId="6" priority="18" operator="containsText" text="ERROR">
      <formula>NOT(ISERROR(SEARCH("ERROR",H78)))</formula>
    </cfRule>
  </conditionalFormatting>
  <hyperlinks>
    <hyperlink ref="A116" r:id="rId1" tooltip="Visit Zaigham Ali — Financial Modeling &amp; Analysis" xr:uid="{5E9D84BC-3E35-43A5-B02D-F97D8EBA5521}"/>
  </hyperlinks>
  <printOptions horizontalCentered="1"/>
  <pageMargins left="0.11811023622047245" right="0.11811023622047245" top="0.11811023622047245" bottom="0.11811023622047245" header="0.11811023622047245" footer="0.11811023622047245"/>
  <pageSetup scale="88" orientation="landscape" r:id="rId2"/>
  <headerFooter>
    <oddFooter>&amp;L&amp;"Open Sans,Bold"&amp;10&amp;K002060DCF Valuation Modeling&amp;C&amp;"Open Sans,Bold"&amp;10&amp;K002060Page &amp;P of &amp;N&amp;R&amp;G</oddFooter>
  </headerFooter>
  <drawing r:id="rId3"/>
  <legacyDrawing r:id="rId4"/>
  <legacyDrawingHF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13" r:id="rId6" name="Drop Down 17">
              <controlPr defaultSize="0" autoLine="0" autoPict="0">
                <anchor moveWithCells="1" sizeWithCells="1">
                  <from>
                    <xdr:col>2</xdr:col>
                    <xdr:colOff>525780</xdr:colOff>
                    <xdr:row>6</xdr:row>
                    <xdr:rowOff>0</xdr:rowOff>
                  </from>
                  <to>
                    <xdr:col>3</xdr:col>
                    <xdr:colOff>784860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O456"/>
  <sheetViews>
    <sheetView showGridLines="0" zoomScaleNormal="100" zoomScaleSheetLayoutView="140" workbookViewId="0">
      <pane ySplit="1" topLeftCell="A11" activePane="bottomLeft" state="frozen"/>
      <selection activeCell="A3" sqref="A3"/>
      <selection pane="bottomLeft" activeCell="F63" sqref="F63"/>
    </sheetView>
  </sheetViews>
  <sheetFormatPr defaultColWidth="9.109375" defaultRowHeight="15" customHeight="1" outlineLevelRow="1"/>
  <cols>
    <col min="1" max="1" width="9.109375" style="99"/>
    <col min="2" max="2" width="17.6640625" style="99" customWidth="1"/>
    <col min="3" max="3" width="11.33203125" style="99" customWidth="1"/>
    <col min="4" max="4" width="15.6640625" style="99" customWidth="1"/>
    <col min="5" max="5" width="1.6640625" style="99" customWidth="1"/>
    <col min="6" max="6" width="11.6640625" style="99" customWidth="1"/>
    <col min="7" max="14" width="10.33203125" style="99" customWidth="1"/>
    <col min="15" max="15" width="1.6640625" style="99" customWidth="1"/>
    <col min="16" max="16384" width="9.109375" style="99"/>
  </cols>
  <sheetData>
    <row r="1" spans="1:15" ht="24" customHeight="1">
      <c r="A1" s="487" t="s">
        <v>250</v>
      </c>
      <c r="B1" s="480"/>
      <c r="C1" s="480"/>
      <c r="D1" s="480"/>
      <c r="E1" s="480"/>
      <c r="F1" s="480"/>
      <c r="G1" s="480"/>
      <c r="H1" s="480"/>
      <c r="I1" s="480"/>
      <c r="J1" s="480"/>
      <c r="K1" s="480"/>
      <c r="L1" s="480"/>
      <c r="M1" s="480"/>
      <c r="N1" s="480"/>
    </row>
    <row r="2" spans="1:15" ht="15" customHeight="1">
      <c r="A2" s="496"/>
      <c r="B2" s="557"/>
      <c r="C2" s="558"/>
      <c r="D2" s="559"/>
      <c r="E2" s="559"/>
      <c r="F2" s="560"/>
      <c r="G2" s="560"/>
      <c r="H2" s="560"/>
      <c r="I2" s="560"/>
      <c r="J2" s="560"/>
      <c r="K2" s="560"/>
      <c r="L2" s="560"/>
      <c r="M2" s="560"/>
      <c r="N2" s="560"/>
      <c r="O2" s="39"/>
    </row>
    <row r="3" spans="1:15" ht="15" customHeight="1">
      <c r="A3" s="496" t="s">
        <v>151</v>
      </c>
      <c r="B3" s="492" t="s">
        <v>21</v>
      </c>
      <c r="C3" s="493"/>
      <c r="D3" s="494"/>
      <c r="E3" s="494"/>
      <c r="F3" s="495"/>
      <c r="G3" s="495"/>
      <c r="H3" s="495"/>
      <c r="I3" s="495"/>
      <c r="J3" s="495"/>
      <c r="K3" s="495"/>
      <c r="L3" s="495"/>
      <c r="M3" s="495"/>
      <c r="N3" s="500"/>
    </row>
    <row r="4" spans="1:15" ht="15" customHeight="1" outlineLevel="1">
      <c r="A4" s="135"/>
      <c r="B4" s="506"/>
      <c r="C4" s="6"/>
      <c r="D4" s="7"/>
      <c r="E4" s="7"/>
      <c r="F4" s="8"/>
      <c r="G4" s="8"/>
      <c r="H4" s="8"/>
      <c r="I4" s="8"/>
      <c r="J4" s="8"/>
      <c r="K4" s="8"/>
      <c r="L4" s="8"/>
      <c r="M4" s="8"/>
      <c r="N4" s="561"/>
    </row>
    <row r="5" spans="1:15" ht="15" customHeight="1" outlineLevel="1" thickBot="1">
      <c r="A5" s="1"/>
      <c r="B5" s="9" t="s">
        <v>22</v>
      </c>
      <c r="C5" s="6"/>
      <c r="D5" s="10"/>
      <c r="E5" s="10"/>
      <c r="F5" s="97">
        <f>G5-1</f>
        <v>2020</v>
      </c>
      <c r="G5" s="97">
        <f>H5-1</f>
        <v>2021</v>
      </c>
      <c r="H5" s="97">
        <f>I5-1</f>
        <v>2022</v>
      </c>
      <c r="I5" s="87">
        <f>Inputs!$F$97</f>
        <v>2023</v>
      </c>
      <c r="J5" s="87">
        <f>I5+1</f>
        <v>2024</v>
      </c>
      <c r="K5" s="87">
        <f>J5+1</f>
        <v>2025</v>
      </c>
      <c r="L5" s="87">
        <f>K5+1</f>
        <v>2026</v>
      </c>
      <c r="M5" s="87">
        <f>L5+1</f>
        <v>2027</v>
      </c>
      <c r="N5" s="87" t="s">
        <v>85</v>
      </c>
    </row>
    <row r="6" spans="1:15" ht="15" customHeight="1" outlineLevel="1">
      <c r="A6" s="1"/>
      <c r="B6" s="9" t="str" cm="1">
        <f t="array" ref="B6">CONCATENATE("Model Running: ",INDEX(Inputs!$B$12:$B$14,Inputs!$D$7)," Drivers")</f>
        <v>Model Running: Worst Case Drivers</v>
      </c>
      <c r="C6" s="6"/>
      <c r="D6" s="10"/>
      <c r="E6" s="10"/>
      <c r="F6" s="10"/>
      <c r="G6" s="10"/>
      <c r="H6" s="10"/>
      <c r="I6" s="37"/>
      <c r="J6" s="37"/>
      <c r="K6" s="37"/>
      <c r="L6" s="37"/>
      <c r="M6" s="37"/>
      <c r="N6" s="37"/>
    </row>
    <row r="7" spans="1:15" ht="15" customHeight="1" outlineLevel="1">
      <c r="A7" s="1"/>
      <c r="C7" s="6"/>
      <c r="D7" s="10"/>
      <c r="E7" s="10"/>
      <c r="F7" s="10"/>
      <c r="G7" s="10"/>
      <c r="H7" s="10"/>
      <c r="I7" s="37"/>
      <c r="J7" s="37"/>
      <c r="K7" s="37"/>
      <c r="L7" s="37"/>
      <c r="M7" s="37"/>
      <c r="N7" s="37"/>
    </row>
    <row r="8" spans="1:15" s="11" customFormat="1" ht="15" customHeight="1" outlineLevel="1">
      <c r="B8" s="131" t="s">
        <v>3</v>
      </c>
      <c r="C8" s="250">
        <f>Inputs!$F$100</f>
        <v>365</v>
      </c>
      <c r="D8" s="313"/>
      <c r="E8" s="13"/>
      <c r="F8" s="562">
        <v>365</v>
      </c>
      <c r="G8" s="563">
        <v>365</v>
      </c>
      <c r="H8" s="563">
        <v>365</v>
      </c>
      <c r="I8" s="186">
        <f>$C$8</f>
        <v>365</v>
      </c>
      <c r="J8" s="186">
        <f t="shared" ref="J8:N8" si="0">$C$8</f>
        <v>365</v>
      </c>
      <c r="K8" s="186">
        <f t="shared" si="0"/>
        <v>365</v>
      </c>
      <c r="L8" s="186">
        <f t="shared" si="0"/>
        <v>365</v>
      </c>
      <c r="M8" s="186">
        <f t="shared" si="0"/>
        <v>365</v>
      </c>
      <c r="N8" s="187">
        <f t="shared" si="0"/>
        <v>365</v>
      </c>
    </row>
    <row r="9" spans="1:15" ht="15" customHeight="1" outlineLevel="1">
      <c r="A9" s="5"/>
      <c r="B9" s="58" t="s">
        <v>12</v>
      </c>
      <c r="C9" s="175">
        <f>Inputs!$L$104</f>
        <v>1600</v>
      </c>
      <c r="D9" s="313"/>
      <c r="E9" s="10"/>
      <c r="F9" s="27"/>
      <c r="G9" s="27"/>
      <c r="H9" s="27"/>
      <c r="I9" s="27"/>
      <c r="J9" s="27"/>
      <c r="K9" s="27"/>
      <c r="L9" s="27"/>
      <c r="M9" s="27"/>
      <c r="N9" s="27"/>
    </row>
    <row r="10" spans="1:15" ht="15" customHeight="1" outlineLevel="1">
      <c r="A10" s="5"/>
      <c r="B10" s="9"/>
      <c r="C10" s="6"/>
      <c r="D10" s="10"/>
      <c r="E10" s="10"/>
      <c r="F10" s="10"/>
      <c r="G10" s="10"/>
      <c r="H10" s="10"/>
      <c r="I10" s="5"/>
      <c r="J10" s="5"/>
      <c r="K10" s="5"/>
      <c r="L10" s="5"/>
      <c r="M10" s="5"/>
      <c r="N10" s="210"/>
    </row>
    <row r="11" spans="1:15" ht="15" customHeight="1" outlineLevel="1">
      <c r="A11" s="5"/>
      <c r="B11" s="9"/>
      <c r="C11" s="6"/>
      <c r="D11" s="10"/>
      <c r="E11" s="10"/>
      <c r="F11" s="10"/>
      <c r="G11" s="10"/>
      <c r="H11" s="10"/>
      <c r="I11" s="5"/>
      <c r="J11" s="5"/>
      <c r="K11" s="5"/>
      <c r="L11" s="5"/>
      <c r="M11" s="5"/>
      <c r="N11" s="210"/>
    </row>
    <row r="12" spans="1:15" s="11" customFormat="1" ht="15" customHeight="1" outlineLevel="1">
      <c r="B12" s="14" t="s">
        <v>135</v>
      </c>
      <c r="C12" s="19"/>
      <c r="D12" s="20"/>
      <c r="E12" s="13"/>
      <c r="F12" s="564"/>
      <c r="G12" s="18"/>
      <c r="H12" s="18"/>
      <c r="I12" s="5"/>
      <c r="J12" s="5"/>
      <c r="K12" s="5"/>
      <c r="L12" s="5"/>
      <c r="M12" s="5"/>
      <c r="N12" s="210"/>
    </row>
    <row r="13" spans="1:15" s="11" customFormat="1" ht="15" customHeight="1" outlineLevel="1">
      <c r="B13" s="12"/>
      <c r="C13" s="19"/>
      <c r="D13" s="20"/>
      <c r="E13" s="13"/>
      <c r="F13" s="18"/>
      <c r="G13" s="18"/>
      <c r="H13" s="18"/>
      <c r="I13" s="18"/>
      <c r="J13" s="18"/>
      <c r="K13" s="18"/>
      <c r="L13" s="18"/>
      <c r="M13" s="18"/>
      <c r="N13" s="22"/>
    </row>
    <row r="14" spans="1:15" ht="15" customHeight="1" outlineLevel="1">
      <c r="A14" s="5"/>
      <c r="B14" s="98" t="s">
        <v>14</v>
      </c>
      <c r="C14" s="6"/>
      <c r="D14" s="10"/>
      <c r="E14" s="10"/>
      <c r="F14" s="10"/>
      <c r="G14" s="26">
        <f>G16/F16-1</f>
        <v>1.9650655021834051E-2</v>
      </c>
      <c r="H14" s="26">
        <f>H16/G16-1</f>
        <v>2.0699500356887945E-2</v>
      </c>
      <c r="I14" s="26">
        <f>Inputs!G10</f>
        <v>0.01</v>
      </c>
      <c r="J14" s="26">
        <f>Inputs!H10</f>
        <v>0.01</v>
      </c>
      <c r="K14" s="26">
        <f>Inputs!I10</f>
        <v>5.0000000000000001E-3</v>
      </c>
      <c r="L14" s="26">
        <f>Inputs!J10</f>
        <v>5.0000000000000001E-3</v>
      </c>
      <c r="M14" s="26">
        <f>Inputs!K10</f>
        <v>5.0000000000000001E-3</v>
      </c>
      <c r="N14" s="472">
        <f>Inputs!L10</f>
        <v>5.0000000000000001E-3</v>
      </c>
    </row>
    <row r="15" spans="1:15" ht="15" customHeight="1" outlineLevel="1">
      <c r="A15" s="5"/>
      <c r="B15" s="98"/>
      <c r="C15" s="6"/>
      <c r="D15" s="10"/>
      <c r="E15" s="10"/>
      <c r="F15" s="10"/>
      <c r="G15" s="26"/>
      <c r="H15" s="26"/>
      <c r="I15" s="71"/>
      <c r="J15" s="71"/>
      <c r="K15" s="71"/>
      <c r="L15" s="71"/>
      <c r="M15" s="71"/>
      <c r="N15" s="83"/>
    </row>
    <row r="16" spans="1:15" ht="15" customHeight="1" outlineLevel="1">
      <c r="A16" s="5"/>
      <c r="B16" s="98" t="s">
        <v>15</v>
      </c>
      <c r="C16" s="6"/>
      <c r="D16" s="20" t="s">
        <v>13</v>
      </c>
      <c r="E16" s="10"/>
      <c r="F16" s="565">
        <v>1374</v>
      </c>
      <c r="G16" s="565">
        <v>1401</v>
      </c>
      <c r="H16" s="565">
        <v>1430</v>
      </c>
      <c r="I16" s="27">
        <f>H16*(1+I14)</f>
        <v>1444.3</v>
      </c>
      <c r="J16" s="27">
        <f t="shared" ref="J16:N16" si="1">I16*(1+J14)</f>
        <v>1458.7429999999999</v>
      </c>
      <c r="K16" s="27">
        <f t="shared" si="1"/>
        <v>1466.0367149999997</v>
      </c>
      <c r="L16" s="27">
        <f t="shared" si="1"/>
        <v>1473.3668985749996</v>
      </c>
      <c r="M16" s="27">
        <f t="shared" si="1"/>
        <v>1480.7337330678745</v>
      </c>
      <c r="N16" s="84">
        <f t="shared" si="1"/>
        <v>1488.1374017332137</v>
      </c>
    </row>
    <row r="17" spans="1:14" s="11" customFormat="1" ht="15" customHeight="1" outlineLevel="1">
      <c r="B17" s="98" t="s">
        <v>12</v>
      </c>
      <c r="C17" s="19"/>
      <c r="D17" s="20" t="s">
        <v>13</v>
      </c>
      <c r="E17" s="13"/>
      <c r="F17" s="565">
        <v>1600</v>
      </c>
      <c r="G17" s="565">
        <v>1600</v>
      </c>
      <c r="H17" s="565">
        <v>1600</v>
      </c>
      <c r="I17" s="27">
        <f>$C$9</f>
        <v>1600</v>
      </c>
      <c r="J17" s="27">
        <f t="shared" ref="J17:N17" si="2">$C$9</f>
        <v>1600</v>
      </c>
      <c r="K17" s="27">
        <f t="shared" si="2"/>
        <v>1600</v>
      </c>
      <c r="L17" s="27">
        <f t="shared" si="2"/>
        <v>1600</v>
      </c>
      <c r="M17" s="27">
        <f t="shared" si="2"/>
        <v>1600</v>
      </c>
      <c r="N17" s="105">
        <f t="shared" si="2"/>
        <v>1600</v>
      </c>
    </row>
    <row r="18" spans="1:14" s="11" customFormat="1" ht="15" customHeight="1" outlineLevel="1">
      <c r="B18" s="98" t="s">
        <v>16</v>
      </c>
      <c r="C18" s="6"/>
      <c r="D18" s="10"/>
      <c r="E18" s="10"/>
      <c r="F18" s="185">
        <f>F16/F17</f>
        <v>0.85875000000000001</v>
      </c>
      <c r="G18" s="185">
        <f t="shared" ref="G18:N18" si="3">G16/G17</f>
        <v>0.87562499999999999</v>
      </c>
      <c r="H18" s="185">
        <f t="shared" si="3"/>
        <v>0.89375000000000004</v>
      </c>
      <c r="I18" s="185">
        <f t="shared" si="3"/>
        <v>0.90268749999999998</v>
      </c>
      <c r="J18" s="185">
        <f t="shared" si="3"/>
        <v>0.91171437499999997</v>
      </c>
      <c r="K18" s="185">
        <f t="shared" si="3"/>
        <v>0.91627294687499983</v>
      </c>
      <c r="L18" s="185">
        <f t="shared" si="3"/>
        <v>0.9208543116093747</v>
      </c>
      <c r="M18" s="185">
        <f t="shared" si="3"/>
        <v>0.92545858316742158</v>
      </c>
      <c r="N18" s="126">
        <f t="shared" si="3"/>
        <v>0.93008587608325854</v>
      </c>
    </row>
    <row r="19" spans="1:14" ht="15" customHeight="1" outlineLevel="1">
      <c r="A19" s="5"/>
      <c r="C19" s="6"/>
      <c r="D19" s="20"/>
      <c r="E19" s="10"/>
      <c r="F19" s="27"/>
      <c r="G19" s="27"/>
      <c r="H19" s="27"/>
      <c r="I19" s="27"/>
      <c r="J19" s="27"/>
      <c r="K19" s="27"/>
      <c r="L19" s="27"/>
      <c r="M19" s="27"/>
      <c r="N19" s="27"/>
    </row>
    <row r="20" spans="1:14" ht="15" customHeight="1" outlineLevel="1">
      <c r="A20" s="5"/>
      <c r="B20" s="143"/>
      <c r="C20" s="30"/>
      <c r="D20" s="34"/>
      <c r="E20" s="31"/>
      <c r="F20" s="28"/>
      <c r="G20" s="28"/>
      <c r="H20" s="28"/>
      <c r="I20" s="28"/>
      <c r="J20" s="28"/>
      <c r="K20" s="28"/>
      <c r="L20" s="28"/>
      <c r="M20" s="28"/>
      <c r="N20" s="28"/>
    </row>
    <row r="21" spans="1:14" ht="15" customHeight="1" outlineLevel="1">
      <c r="A21" s="5"/>
      <c r="B21" s="9"/>
      <c r="C21" s="6"/>
      <c r="D21" s="10"/>
      <c r="E21" s="10"/>
      <c r="F21" s="10"/>
      <c r="G21" s="10"/>
      <c r="H21" s="10"/>
      <c r="I21" s="5"/>
      <c r="J21" s="5"/>
      <c r="K21" s="5"/>
      <c r="L21" s="5"/>
      <c r="M21" s="5"/>
      <c r="N21" s="5"/>
    </row>
    <row r="22" spans="1:14" ht="15" customHeight="1" outlineLevel="1">
      <c r="A22" s="5"/>
      <c r="B22" s="9"/>
      <c r="C22" s="6"/>
      <c r="D22" s="10"/>
      <c r="E22" s="10"/>
      <c r="F22" s="10"/>
      <c r="G22" s="10"/>
      <c r="H22" s="10"/>
      <c r="I22" s="5"/>
      <c r="J22" s="5"/>
      <c r="K22" s="5"/>
      <c r="L22" s="5"/>
      <c r="M22" s="5"/>
      <c r="N22" s="5"/>
    </row>
    <row r="23" spans="1:14" s="11" customFormat="1" ht="15" customHeight="1" outlineLevel="1">
      <c r="B23" s="14" t="s">
        <v>127</v>
      </c>
      <c r="C23" s="19"/>
      <c r="D23" s="20"/>
      <c r="E23" s="13"/>
      <c r="F23" s="18"/>
      <c r="G23" s="18"/>
      <c r="H23" s="18"/>
      <c r="I23" s="18"/>
      <c r="J23" s="18"/>
      <c r="K23" s="18"/>
      <c r="L23" s="18"/>
      <c r="M23" s="18"/>
      <c r="N23" s="18"/>
    </row>
    <row r="24" spans="1:14" s="11" customFormat="1" ht="15" customHeight="1" outlineLevel="1">
      <c r="B24" s="12"/>
      <c r="C24" s="19"/>
      <c r="D24" s="20"/>
      <c r="E24" s="13"/>
      <c r="F24" s="18"/>
      <c r="G24" s="18"/>
      <c r="H24" s="18"/>
      <c r="I24" s="18"/>
      <c r="J24" s="18"/>
      <c r="K24" s="18"/>
      <c r="L24" s="18"/>
      <c r="M24" s="18"/>
      <c r="N24" s="18"/>
    </row>
    <row r="25" spans="1:14" ht="15" customHeight="1" outlineLevel="1">
      <c r="A25" s="5"/>
      <c r="B25" s="98" t="s">
        <v>3</v>
      </c>
      <c r="C25" s="6"/>
      <c r="D25" s="10"/>
      <c r="E25" s="10"/>
      <c r="F25" s="27">
        <f t="shared" ref="F25:N25" si="4">F8</f>
        <v>365</v>
      </c>
      <c r="G25" s="27">
        <f t="shared" si="4"/>
        <v>365</v>
      </c>
      <c r="H25" s="27">
        <f t="shared" si="4"/>
        <v>365</v>
      </c>
      <c r="I25" s="27">
        <f t="shared" si="4"/>
        <v>365</v>
      </c>
      <c r="J25" s="27">
        <f t="shared" si="4"/>
        <v>365</v>
      </c>
      <c r="K25" s="27">
        <f t="shared" si="4"/>
        <v>365</v>
      </c>
      <c r="L25" s="27">
        <f t="shared" si="4"/>
        <v>365</v>
      </c>
      <c r="M25" s="27">
        <f t="shared" si="4"/>
        <v>365</v>
      </c>
      <c r="N25" s="128">
        <f t="shared" si="4"/>
        <v>365</v>
      </c>
    </row>
    <row r="26" spans="1:14" ht="15" customHeight="1" outlineLevel="1">
      <c r="A26" s="5"/>
      <c r="B26" s="98" t="s">
        <v>15</v>
      </c>
      <c r="C26" s="6"/>
      <c r="D26" s="20" t="s">
        <v>13</v>
      </c>
      <c r="E26" s="10"/>
      <c r="F26" s="28">
        <f>F16</f>
        <v>1374</v>
      </c>
      <c r="G26" s="28">
        <f t="shared" ref="G26:N26" si="5">G16</f>
        <v>1401</v>
      </c>
      <c r="H26" s="28">
        <f t="shared" si="5"/>
        <v>1430</v>
      </c>
      <c r="I26" s="27">
        <f t="shared" si="5"/>
        <v>1444.3</v>
      </c>
      <c r="J26" s="28">
        <f t="shared" si="5"/>
        <v>1458.7429999999999</v>
      </c>
      <c r="K26" s="28">
        <f t="shared" si="5"/>
        <v>1466.0367149999997</v>
      </c>
      <c r="L26" s="28">
        <f t="shared" si="5"/>
        <v>1473.3668985749996</v>
      </c>
      <c r="M26" s="28">
        <f t="shared" si="5"/>
        <v>1480.7337330678745</v>
      </c>
      <c r="N26" s="84">
        <f t="shared" si="5"/>
        <v>1488.1374017332137</v>
      </c>
    </row>
    <row r="27" spans="1:14" ht="15" customHeight="1" outlineLevel="1">
      <c r="A27" s="5"/>
      <c r="B27" s="98" t="s">
        <v>15</v>
      </c>
      <c r="C27" s="6"/>
      <c r="D27" s="20" t="s">
        <v>17</v>
      </c>
      <c r="E27" s="10"/>
      <c r="F27" s="27">
        <f>F26*F25</f>
        <v>501510</v>
      </c>
      <c r="G27" s="27">
        <f t="shared" ref="G27:M27" si="6">G26*G25</f>
        <v>511365</v>
      </c>
      <c r="H27" s="27">
        <f t="shared" si="6"/>
        <v>521950</v>
      </c>
      <c r="I27" s="127">
        <f t="shared" si="6"/>
        <v>527169.5</v>
      </c>
      <c r="J27" s="27">
        <f t="shared" si="6"/>
        <v>532441.19499999995</v>
      </c>
      <c r="K27" s="27">
        <f t="shared" si="6"/>
        <v>535103.40097499988</v>
      </c>
      <c r="L27" s="27">
        <f t="shared" si="6"/>
        <v>537778.91797987488</v>
      </c>
      <c r="M27" s="27">
        <f t="shared" si="6"/>
        <v>540467.81256977422</v>
      </c>
      <c r="N27" s="128">
        <f>N26*N25</f>
        <v>543170.15163262293</v>
      </c>
    </row>
    <row r="28" spans="1:14" ht="15" customHeight="1" outlineLevel="1">
      <c r="A28" s="5"/>
      <c r="B28" s="12"/>
      <c r="C28" s="6"/>
      <c r="D28" s="20"/>
      <c r="E28" s="10"/>
      <c r="F28" s="27"/>
      <c r="G28" s="27"/>
      <c r="H28" s="27"/>
      <c r="I28" s="115"/>
      <c r="J28" s="115"/>
      <c r="K28" s="115"/>
      <c r="L28" s="115"/>
      <c r="M28" s="115"/>
      <c r="N28" s="116"/>
    </row>
    <row r="29" spans="1:14" ht="15" customHeight="1" outlineLevel="1">
      <c r="A29" s="5"/>
      <c r="B29" s="12"/>
      <c r="C29" s="6"/>
      <c r="D29" s="20"/>
      <c r="E29" s="10"/>
      <c r="F29" s="27"/>
      <c r="G29" s="27"/>
      <c r="H29" s="27"/>
      <c r="I29" s="115"/>
      <c r="J29" s="115"/>
      <c r="K29" s="115"/>
      <c r="L29" s="115"/>
      <c r="M29" s="115"/>
      <c r="N29" s="116"/>
    </row>
    <row r="30" spans="1:14" s="11" customFormat="1" ht="15" customHeight="1" outlineLevel="1">
      <c r="B30" s="14" t="s">
        <v>126</v>
      </c>
      <c r="C30" s="19"/>
      <c r="D30" s="20"/>
      <c r="E30" s="20"/>
      <c r="F30" s="20"/>
      <c r="G30" s="20"/>
      <c r="H30" s="20"/>
      <c r="I30" s="20"/>
      <c r="J30" s="20"/>
      <c r="K30" s="20"/>
      <c r="L30" s="20"/>
      <c r="M30" s="27"/>
      <c r="N30" s="84"/>
    </row>
    <row r="31" spans="1:14" s="11" customFormat="1" ht="15" customHeight="1" outlineLevel="1">
      <c r="B31" s="12"/>
      <c r="C31" s="19"/>
      <c r="D31" s="20"/>
      <c r="E31" s="13"/>
      <c r="F31" s="18"/>
      <c r="G31" s="18"/>
      <c r="H31" s="18"/>
      <c r="I31" s="18"/>
      <c r="J31" s="18"/>
      <c r="K31" s="18"/>
      <c r="L31" s="18"/>
      <c r="M31" s="18"/>
      <c r="N31" s="85"/>
    </row>
    <row r="32" spans="1:14" ht="15" customHeight="1" outlineLevel="1">
      <c r="A32" s="5"/>
      <c r="B32" s="98" t="s">
        <v>20</v>
      </c>
      <c r="C32" s="6"/>
      <c r="D32" s="10"/>
      <c r="E32" s="10"/>
      <c r="F32" s="31"/>
      <c r="G32" s="129">
        <f>G33/F33-1</f>
        <v>1.701341629399189E-2</v>
      </c>
      <c r="H32" s="129">
        <f>H33/G33-1</f>
        <v>2.1030494216614182E-2</v>
      </c>
      <c r="I32" s="129">
        <f>Inputs!G17</f>
        <v>0.01</v>
      </c>
      <c r="J32" s="129">
        <f>Inputs!H17</f>
        <v>0.01</v>
      </c>
      <c r="K32" s="129">
        <f>Inputs!I17</f>
        <v>5.0000000000000001E-3</v>
      </c>
      <c r="L32" s="129">
        <f>Inputs!J17</f>
        <v>5.0000000000000001E-3</v>
      </c>
      <c r="M32" s="129">
        <f>Inputs!K17</f>
        <v>5.0000000000000001E-3</v>
      </c>
      <c r="N32" s="471">
        <f>Inputs!L17</f>
        <v>5.0000000000000001E-3</v>
      </c>
    </row>
    <row r="33" spans="1:15" ht="15" customHeight="1" outlineLevel="1">
      <c r="A33" s="5"/>
      <c r="B33" s="98" t="s">
        <v>18</v>
      </c>
      <c r="C33" s="6"/>
      <c r="D33" s="20" t="s">
        <v>19</v>
      </c>
      <c r="E33" s="10"/>
      <c r="F33" s="543">
        <v>102.86</v>
      </c>
      <c r="G33" s="543">
        <v>104.61</v>
      </c>
      <c r="H33" s="543">
        <v>106.81</v>
      </c>
      <c r="I33" s="70">
        <f>H33*(1+I32)</f>
        <v>107.8781</v>
      </c>
      <c r="J33" s="70">
        <f t="shared" ref="J33:N33" si="7">I33*(1+J32)</f>
        <v>108.95688100000001</v>
      </c>
      <c r="K33" s="70">
        <f t="shared" si="7"/>
        <v>109.501665405</v>
      </c>
      <c r="L33" s="70">
        <f t="shared" si="7"/>
        <v>110.04917373202498</v>
      </c>
      <c r="M33" s="70">
        <f t="shared" si="7"/>
        <v>110.5994196006851</v>
      </c>
      <c r="N33" s="107">
        <f t="shared" si="7"/>
        <v>111.15241669868851</v>
      </c>
    </row>
    <row r="34" spans="1:15" ht="15" customHeight="1" outlineLevel="1">
      <c r="A34" s="5"/>
      <c r="C34" s="6"/>
      <c r="D34" s="20"/>
      <c r="E34" s="10"/>
      <c r="F34" s="543"/>
      <c r="G34" s="543"/>
      <c r="H34" s="543"/>
      <c r="I34" s="70"/>
      <c r="J34" s="70"/>
      <c r="K34" s="70"/>
      <c r="L34" s="70"/>
      <c r="M34" s="70"/>
      <c r="N34" s="86"/>
    </row>
    <row r="35" spans="1:15" ht="15" customHeight="1" outlineLevel="1">
      <c r="A35" s="5"/>
      <c r="C35" s="6"/>
      <c r="D35" s="20"/>
      <c r="E35" s="10"/>
      <c r="F35" s="543"/>
      <c r="G35" s="543"/>
      <c r="H35" s="543"/>
      <c r="I35" s="70"/>
      <c r="J35" s="70"/>
      <c r="K35" s="70"/>
      <c r="L35" s="70"/>
      <c r="M35" s="70"/>
      <c r="N35" s="86"/>
    </row>
    <row r="36" spans="1:15" s="11" customFormat="1" ht="15" customHeight="1" outlineLevel="1">
      <c r="B36" s="14" t="s">
        <v>125</v>
      </c>
      <c r="C36" s="19"/>
      <c r="D36" s="20"/>
      <c r="E36" s="13"/>
      <c r="F36" s="18"/>
      <c r="G36" s="18"/>
      <c r="H36" s="18"/>
      <c r="I36" s="18"/>
      <c r="J36" s="18"/>
      <c r="K36" s="18"/>
      <c r="L36" s="18"/>
      <c r="M36" s="18"/>
      <c r="N36" s="85"/>
    </row>
    <row r="37" spans="1:15" s="11" customFormat="1" ht="15" customHeight="1" outlineLevel="1">
      <c r="B37" s="12"/>
      <c r="C37" s="19"/>
      <c r="D37" s="20"/>
      <c r="E37" s="13"/>
      <c r="F37" s="18"/>
      <c r="G37" s="18"/>
      <c r="H37" s="18"/>
      <c r="I37" s="18"/>
      <c r="J37" s="18"/>
      <c r="K37" s="18"/>
      <c r="L37" s="18"/>
      <c r="M37" s="18"/>
      <c r="N37" s="85"/>
    </row>
    <row r="38" spans="1:15" ht="15" customHeight="1" outlineLevel="1">
      <c r="A38" s="5"/>
      <c r="B38" s="98" t="s">
        <v>15</v>
      </c>
      <c r="C38" s="6"/>
      <c r="D38" s="20" t="s">
        <v>17</v>
      </c>
      <c r="E38" s="10"/>
      <c r="F38" s="27">
        <f>F27</f>
        <v>501510</v>
      </c>
      <c r="G38" s="27">
        <f t="shared" ref="G38:N38" si="8">G27</f>
        <v>511365</v>
      </c>
      <c r="H38" s="27">
        <f t="shared" si="8"/>
        <v>521950</v>
      </c>
      <c r="I38" s="27">
        <f t="shared" si="8"/>
        <v>527169.5</v>
      </c>
      <c r="J38" s="27">
        <f t="shared" si="8"/>
        <v>532441.19499999995</v>
      </c>
      <c r="K38" s="27">
        <f t="shared" si="8"/>
        <v>535103.40097499988</v>
      </c>
      <c r="L38" s="27">
        <f t="shared" si="8"/>
        <v>537778.91797987488</v>
      </c>
      <c r="M38" s="27">
        <f t="shared" si="8"/>
        <v>540467.81256977422</v>
      </c>
      <c r="N38" s="84">
        <f t="shared" si="8"/>
        <v>543170.15163262293</v>
      </c>
    </row>
    <row r="39" spans="1:15" ht="15" customHeight="1" outlineLevel="1">
      <c r="A39" s="5"/>
      <c r="B39" s="98" t="s">
        <v>77</v>
      </c>
      <c r="C39" s="6"/>
      <c r="D39" s="20" t="s">
        <v>19</v>
      </c>
      <c r="E39" s="10"/>
      <c r="F39" s="32">
        <f>F33</f>
        <v>102.86</v>
      </c>
      <c r="G39" s="32">
        <f t="shared" ref="G39:N39" si="9">G33</f>
        <v>104.61</v>
      </c>
      <c r="H39" s="32">
        <f t="shared" si="9"/>
        <v>106.81</v>
      </c>
      <c r="I39" s="32">
        <f t="shared" si="9"/>
        <v>107.8781</v>
      </c>
      <c r="J39" s="32">
        <f t="shared" si="9"/>
        <v>108.95688100000001</v>
      </c>
      <c r="K39" s="32">
        <f>K33</f>
        <v>109.501665405</v>
      </c>
      <c r="L39" s="32">
        <f t="shared" si="9"/>
        <v>110.04917373202498</v>
      </c>
      <c r="M39" s="32">
        <f t="shared" si="9"/>
        <v>110.5994196006851</v>
      </c>
      <c r="N39" s="86">
        <f t="shared" si="9"/>
        <v>111.15241669868851</v>
      </c>
    </row>
    <row r="40" spans="1:15" ht="15" customHeight="1" outlineLevel="1" thickBot="1">
      <c r="A40" s="5"/>
      <c r="B40" s="98" t="s">
        <v>2</v>
      </c>
      <c r="C40" s="6"/>
      <c r="D40" s="20"/>
      <c r="E40" s="10"/>
      <c r="F40" s="405">
        <f>F38*F39/1000</f>
        <v>51585.318599999999</v>
      </c>
      <c r="G40" s="405">
        <f t="shared" ref="G40:N40" si="10">G38*G39/1000</f>
        <v>53493.892650000002</v>
      </c>
      <c r="H40" s="405">
        <f t="shared" si="10"/>
        <v>55749.479500000001</v>
      </c>
      <c r="I40" s="405">
        <f t="shared" si="10"/>
        <v>56870.04403795</v>
      </c>
      <c r="J40" s="405">
        <f t="shared" si="10"/>
        <v>58013.131923112793</v>
      </c>
      <c r="K40" s="405">
        <f t="shared" si="10"/>
        <v>58594.713570641987</v>
      </c>
      <c r="L40" s="405">
        <f t="shared" si="10"/>
        <v>59182.125574187667</v>
      </c>
      <c r="M40" s="405">
        <f t="shared" si="10"/>
        <v>59775.42638306888</v>
      </c>
      <c r="N40" s="406">
        <f t="shared" si="10"/>
        <v>60374.675032559127</v>
      </c>
    </row>
    <row r="41" spans="1:15" ht="15" customHeight="1" outlineLevel="1">
      <c r="A41" s="5"/>
      <c r="C41" s="6"/>
      <c r="D41" s="20"/>
      <c r="E41" s="10"/>
      <c r="F41" s="27"/>
      <c r="G41" s="27"/>
      <c r="H41" s="27"/>
      <c r="I41" s="27"/>
      <c r="J41" s="27"/>
      <c r="K41" s="27"/>
      <c r="L41" s="27"/>
      <c r="M41" s="27"/>
      <c r="N41" s="27"/>
    </row>
    <row r="42" spans="1:15" ht="15" customHeight="1" outlineLevel="1">
      <c r="A42" s="5"/>
      <c r="C42" s="6"/>
      <c r="D42" s="20"/>
      <c r="E42" s="10"/>
      <c r="F42" s="27"/>
      <c r="G42" s="27"/>
      <c r="H42" s="27"/>
      <c r="I42" s="27"/>
      <c r="J42" s="27"/>
      <c r="K42" s="27"/>
      <c r="L42" s="27"/>
      <c r="M42" s="27"/>
      <c r="N42" s="27"/>
    </row>
    <row r="43" spans="1:15" ht="15" customHeight="1" outlineLevel="1">
      <c r="A43" s="5"/>
      <c r="B43" s="12" t="s">
        <v>205</v>
      </c>
      <c r="C43" s="6"/>
      <c r="D43" s="141"/>
      <c r="E43" s="10"/>
      <c r="F43" s="261">
        <f>IF(F18&gt;=1,1,0)</f>
        <v>0</v>
      </c>
      <c r="G43" s="262">
        <f t="shared" ref="G43:N43" si="11">IF(G18&gt;=1,1,0)</f>
        <v>0</v>
      </c>
      <c r="H43" s="262">
        <f t="shared" si="11"/>
        <v>0</v>
      </c>
      <c r="I43" s="262">
        <f t="shared" si="11"/>
        <v>0</v>
      </c>
      <c r="J43" s="262">
        <f t="shared" si="11"/>
        <v>0</v>
      </c>
      <c r="K43" s="262">
        <f>IF(K18&gt;=1,1,0)</f>
        <v>0</v>
      </c>
      <c r="L43" s="262">
        <f t="shared" si="11"/>
        <v>0</v>
      </c>
      <c r="M43" s="262">
        <f t="shared" si="11"/>
        <v>0</v>
      </c>
      <c r="N43" s="263">
        <f t="shared" si="11"/>
        <v>0</v>
      </c>
    </row>
    <row r="44" spans="1:15" ht="15" customHeight="1" outlineLevel="1">
      <c r="A44" s="5"/>
      <c r="B44" s="9"/>
      <c r="C44" s="6"/>
      <c r="D44" s="10"/>
      <c r="E44" s="10"/>
      <c r="F44" s="145"/>
      <c r="G44" s="145"/>
      <c r="H44" s="145"/>
      <c r="I44" s="211"/>
      <c r="J44" s="211"/>
      <c r="K44" s="211"/>
      <c r="L44" s="211"/>
      <c r="M44" s="211"/>
      <c r="N44" s="212"/>
    </row>
    <row r="45" spans="1:15" ht="15" customHeight="1" outlineLevel="1"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</row>
    <row r="46" spans="1:15" s="11" customFormat="1" ht="15" customHeight="1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42"/>
    </row>
    <row r="47" spans="1:15" ht="15" customHeight="1">
      <c r="A47" s="11" t="s">
        <v>151</v>
      </c>
      <c r="B47" s="505" t="s">
        <v>23</v>
      </c>
      <c r="C47" s="489"/>
      <c r="D47" s="490"/>
      <c r="E47" s="490"/>
      <c r="F47" s="491"/>
      <c r="G47" s="491"/>
      <c r="H47" s="491"/>
      <c r="I47" s="491"/>
      <c r="J47" s="491"/>
      <c r="K47" s="491"/>
      <c r="L47" s="491"/>
      <c r="M47" s="491"/>
      <c r="N47" s="566"/>
      <c r="O47" s="39"/>
    </row>
    <row r="48" spans="1:15" ht="15" customHeight="1" outlineLevel="1">
      <c r="A48" s="11"/>
      <c r="B48" s="506"/>
      <c r="C48" s="6"/>
      <c r="D48" s="7"/>
      <c r="E48" s="7"/>
      <c r="F48" s="8"/>
      <c r="G48" s="8"/>
      <c r="H48" s="8"/>
      <c r="I48" s="8"/>
      <c r="J48" s="8"/>
      <c r="K48" s="8"/>
      <c r="L48" s="8"/>
      <c r="M48" s="8"/>
      <c r="N48" s="8"/>
    </row>
    <row r="49" spans="1:15" ht="15" customHeight="1" outlineLevel="1" thickBot="1">
      <c r="A49" s="11"/>
      <c r="B49" s="9" t="s">
        <v>22</v>
      </c>
      <c r="C49" s="6"/>
      <c r="D49" s="10"/>
      <c r="E49" s="10"/>
      <c r="F49" s="97">
        <f>F$5</f>
        <v>2020</v>
      </c>
      <c r="G49" s="97">
        <f t="shared" ref="G49:N49" si="12">G$5</f>
        <v>2021</v>
      </c>
      <c r="H49" s="97">
        <f t="shared" si="12"/>
        <v>2022</v>
      </c>
      <c r="I49" s="87">
        <f t="shared" si="12"/>
        <v>2023</v>
      </c>
      <c r="J49" s="87">
        <f t="shared" si="12"/>
        <v>2024</v>
      </c>
      <c r="K49" s="87">
        <f t="shared" si="12"/>
        <v>2025</v>
      </c>
      <c r="L49" s="87">
        <f t="shared" si="12"/>
        <v>2026</v>
      </c>
      <c r="M49" s="87">
        <f t="shared" si="12"/>
        <v>2027</v>
      </c>
      <c r="N49" s="87" t="str">
        <f t="shared" si="12"/>
        <v>Term</v>
      </c>
    </row>
    <row r="50" spans="1:15" ht="15" customHeight="1" outlineLevel="1">
      <c r="A50" s="11"/>
      <c r="B50" s="9" t="str">
        <f>$B$6</f>
        <v>Model Running: Worst Case Drivers</v>
      </c>
      <c r="C50" s="6"/>
      <c r="D50" s="10"/>
      <c r="E50" s="10"/>
      <c r="F50" s="10"/>
      <c r="G50" s="10"/>
      <c r="H50" s="10"/>
      <c r="I50" s="37"/>
      <c r="J50" s="37"/>
      <c r="K50" s="37"/>
      <c r="L50" s="37"/>
      <c r="M50" s="37"/>
      <c r="N50" s="37"/>
    </row>
    <row r="51" spans="1:15" ht="15" customHeight="1" outlineLevel="1">
      <c r="A51" s="11"/>
      <c r="B51" s="9"/>
      <c r="C51" s="6"/>
      <c r="D51" s="10"/>
      <c r="E51" s="10"/>
      <c r="F51" s="10"/>
      <c r="G51" s="10"/>
      <c r="H51" s="10"/>
      <c r="I51" s="5"/>
      <c r="J51" s="5"/>
      <c r="K51" s="5"/>
      <c r="L51" s="5"/>
      <c r="M51" s="5"/>
    </row>
    <row r="52" spans="1:15" ht="15" customHeight="1" outlineLevel="1">
      <c r="A52" s="11"/>
      <c r="B52" s="12" t="s">
        <v>15</v>
      </c>
      <c r="C52" s="6"/>
      <c r="D52" s="20"/>
      <c r="E52" s="10"/>
      <c r="F52" s="154">
        <f>F38</f>
        <v>501510</v>
      </c>
      <c r="G52" s="127">
        <f t="shared" ref="G52:N52" si="13">G38</f>
        <v>511365</v>
      </c>
      <c r="H52" s="127">
        <f t="shared" si="13"/>
        <v>521950</v>
      </c>
      <c r="I52" s="127">
        <f>I38</f>
        <v>527169.5</v>
      </c>
      <c r="J52" s="127">
        <f>J38</f>
        <v>532441.19499999995</v>
      </c>
      <c r="K52" s="127">
        <f>K38</f>
        <v>535103.40097499988</v>
      </c>
      <c r="L52" s="127">
        <f>L38</f>
        <v>537778.91797987488</v>
      </c>
      <c r="M52" s="127">
        <f t="shared" si="13"/>
        <v>540467.81256977422</v>
      </c>
      <c r="N52" s="128">
        <f t="shared" si="13"/>
        <v>543170.15163262293</v>
      </c>
    </row>
    <row r="53" spans="1:15" ht="15" customHeight="1" outlineLevel="1">
      <c r="A53" s="11"/>
      <c r="B53" s="12" t="s">
        <v>29</v>
      </c>
      <c r="C53" s="6"/>
      <c r="D53" s="10"/>
      <c r="E53" s="10"/>
      <c r="F53" s="567">
        <v>2.4E-2</v>
      </c>
      <c r="G53" s="568">
        <v>2.1999999999999999E-2</v>
      </c>
      <c r="H53" s="568">
        <v>2.3E-2</v>
      </c>
      <c r="I53" s="129">
        <f>Inputs!G31</f>
        <v>3.5000000000000003E-2</v>
      </c>
      <c r="J53" s="129">
        <f>Inputs!H31</f>
        <v>0.03</v>
      </c>
      <c r="K53" s="129">
        <f>Inputs!I31</f>
        <v>0.03</v>
      </c>
      <c r="L53" s="129">
        <f>Inputs!J31</f>
        <v>2.5000000000000001E-2</v>
      </c>
      <c r="M53" s="129">
        <f>Inputs!K31</f>
        <v>2.5000000000000001E-2</v>
      </c>
      <c r="N53" s="471">
        <f>Inputs!L31</f>
        <v>1.4999999999999999E-2</v>
      </c>
    </row>
    <row r="54" spans="1:15" ht="15" customHeight="1" outlineLevel="1">
      <c r="A54" s="11"/>
      <c r="B54" s="12"/>
      <c r="C54" s="6"/>
      <c r="D54" s="10"/>
      <c r="E54" s="10"/>
      <c r="F54" s="569"/>
      <c r="G54" s="569"/>
      <c r="H54" s="569"/>
      <c r="I54" s="26"/>
      <c r="J54" s="26"/>
      <c r="K54" s="26"/>
      <c r="L54" s="26"/>
      <c r="M54" s="26"/>
      <c r="N54" s="26"/>
    </row>
    <row r="55" spans="1:15" s="11" customFormat="1" ht="15" customHeight="1" outlineLevel="1">
      <c r="B55" s="14" t="s">
        <v>137</v>
      </c>
      <c r="C55" s="19"/>
      <c r="D55" s="20"/>
      <c r="E55" s="13"/>
      <c r="F55" s="114"/>
      <c r="G55" s="114"/>
      <c r="H55" s="114"/>
      <c r="I55" s="18"/>
      <c r="J55" s="18"/>
      <c r="K55" s="18"/>
      <c r="L55" s="18"/>
      <c r="M55" s="18"/>
      <c r="N55" s="18"/>
      <c r="O55" s="39"/>
    </row>
    <row r="56" spans="1:15" s="11" customFormat="1" ht="15" customHeight="1" outlineLevel="1">
      <c r="B56" s="12"/>
      <c r="C56" s="19"/>
      <c r="D56" s="20"/>
      <c r="E56" s="13"/>
      <c r="F56" s="18"/>
      <c r="G56" s="18"/>
      <c r="H56" s="18"/>
      <c r="I56" s="18"/>
      <c r="J56" s="18"/>
      <c r="K56" s="18"/>
      <c r="L56" s="18"/>
      <c r="M56" s="18"/>
      <c r="N56" s="21"/>
      <c r="O56" s="39"/>
    </row>
    <row r="57" spans="1:15" s="11" customFormat="1" ht="15" customHeight="1" outlineLevel="1">
      <c r="B57" s="98" t="s">
        <v>130</v>
      </c>
      <c r="C57" s="6"/>
      <c r="D57" s="20" t="s">
        <v>19</v>
      </c>
      <c r="E57" s="10"/>
      <c r="F57" s="543">
        <v>9.51</v>
      </c>
      <c r="G57" s="543">
        <v>9.7200000000000006</v>
      </c>
      <c r="H57" s="543">
        <v>9.91</v>
      </c>
      <c r="I57" s="70">
        <f>H57*(1+I$53)</f>
        <v>10.25685</v>
      </c>
      <c r="J57" s="70">
        <f t="shared" ref="J57:N59" si="14">I57*(1+J$53)</f>
        <v>10.564555500000001</v>
      </c>
      <c r="K57" s="70">
        <f t="shared" si="14"/>
        <v>10.881492165000001</v>
      </c>
      <c r="L57" s="70">
        <f t="shared" si="14"/>
        <v>11.153529469125001</v>
      </c>
      <c r="M57" s="70">
        <f t="shared" si="14"/>
        <v>11.432367705853125</v>
      </c>
      <c r="N57" s="91">
        <f t="shared" si="14"/>
        <v>11.60385322144092</v>
      </c>
    </row>
    <row r="58" spans="1:15" s="11" customFormat="1" ht="15" customHeight="1" outlineLevel="1">
      <c r="B58" s="98" t="s">
        <v>25</v>
      </c>
      <c r="C58" s="6"/>
      <c r="D58" s="20" t="s">
        <v>19</v>
      </c>
      <c r="E58" s="10"/>
      <c r="F58" s="543">
        <v>0.82</v>
      </c>
      <c r="G58" s="543">
        <v>0.84</v>
      </c>
      <c r="H58" s="543">
        <v>0.86</v>
      </c>
      <c r="I58" s="70">
        <f>H58*(1+I$53)</f>
        <v>0.89009999999999989</v>
      </c>
      <c r="J58" s="70">
        <f t="shared" si="14"/>
        <v>0.91680299999999992</v>
      </c>
      <c r="K58" s="70">
        <f t="shared" si="14"/>
        <v>0.9443070899999999</v>
      </c>
      <c r="L58" s="70">
        <f t="shared" si="14"/>
        <v>0.96791476724999981</v>
      </c>
      <c r="M58" s="70">
        <f t="shared" si="14"/>
        <v>0.99211263643124969</v>
      </c>
      <c r="N58" s="90">
        <f t="shared" si="14"/>
        <v>1.0069943259777183</v>
      </c>
    </row>
    <row r="59" spans="1:15" s="11" customFormat="1" ht="15" customHeight="1" outlineLevel="1">
      <c r="B59" s="98" t="s">
        <v>30</v>
      </c>
      <c r="C59" s="6"/>
      <c r="D59" s="20" t="s">
        <v>19</v>
      </c>
      <c r="E59" s="10"/>
      <c r="F59" s="570">
        <v>1.54</v>
      </c>
      <c r="G59" s="570">
        <v>1.58</v>
      </c>
      <c r="H59" s="570">
        <v>1.62</v>
      </c>
      <c r="I59" s="155">
        <f>H59*(1+I$53)</f>
        <v>1.6767000000000001</v>
      </c>
      <c r="J59" s="155">
        <f t="shared" si="14"/>
        <v>1.7270010000000002</v>
      </c>
      <c r="K59" s="155">
        <f t="shared" si="14"/>
        <v>1.7788110300000002</v>
      </c>
      <c r="L59" s="155">
        <f t="shared" si="14"/>
        <v>1.8232813057500001</v>
      </c>
      <c r="M59" s="155">
        <f t="shared" si="14"/>
        <v>1.8688633383937501</v>
      </c>
      <c r="N59" s="92">
        <f t="shared" si="14"/>
        <v>1.8968962884696561</v>
      </c>
    </row>
    <row r="60" spans="1:15" s="11" customFormat="1" ht="15" customHeight="1" outlineLevel="1">
      <c r="B60" s="98" t="s">
        <v>31</v>
      </c>
      <c r="C60" s="19"/>
      <c r="D60" s="20"/>
      <c r="E60" s="13"/>
      <c r="F60" s="32">
        <f>SUM(F57:F59)</f>
        <v>11.870000000000001</v>
      </c>
      <c r="G60" s="32">
        <f t="shared" ref="G60:N60" si="15">SUM(G57:G59)</f>
        <v>12.14</v>
      </c>
      <c r="H60" s="32">
        <f t="shared" si="15"/>
        <v>12.39</v>
      </c>
      <c r="I60" s="32">
        <f t="shared" si="15"/>
        <v>12.823650000000001</v>
      </c>
      <c r="J60" s="32">
        <f>SUM(J57:J59)</f>
        <v>13.2083595</v>
      </c>
      <c r="K60" s="32">
        <f t="shared" si="15"/>
        <v>13.604610285000001</v>
      </c>
      <c r="L60" s="32">
        <f t="shared" si="15"/>
        <v>13.944725542124999</v>
      </c>
      <c r="M60" s="32">
        <f t="shared" si="15"/>
        <v>14.293343680678124</v>
      </c>
      <c r="N60" s="86">
        <f t="shared" si="15"/>
        <v>14.507743835888295</v>
      </c>
    </row>
    <row r="61" spans="1:15" s="11" customFormat="1" ht="15" customHeight="1" outlineLevel="1">
      <c r="B61" s="19"/>
      <c r="C61" s="19"/>
      <c r="D61" s="20"/>
      <c r="E61" s="13"/>
      <c r="F61" s="32"/>
      <c r="G61" s="32"/>
      <c r="H61" s="32"/>
      <c r="I61" s="32"/>
      <c r="J61" s="32"/>
      <c r="K61" s="32"/>
      <c r="L61" s="32"/>
      <c r="M61" s="32"/>
      <c r="N61" s="93"/>
    </row>
    <row r="62" spans="1:15" s="11" customFormat="1" ht="15" customHeight="1" outlineLevel="1">
      <c r="B62" s="98" t="s">
        <v>130</v>
      </c>
      <c r="C62" s="6"/>
      <c r="D62" s="20"/>
      <c r="E62" s="10"/>
      <c r="F62" s="27">
        <f>F57*F$52/1000</f>
        <v>4769.3600999999999</v>
      </c>
      <c r="G62" s="27">
        <f t="shared" ref="G62:N62" si="16">G57*G$52/1000</f>
        <v>4970.4678000000004</v>
      </c>
      <c r="H62" s="27">
        <f t="shared" si="16"/>
        <v>5172.5245000000004</v>
      </c>
      <c r="I62" s="27">
        <f t="shared" si="16"/>
        <v>5407.0984860749995</v>
      </c>
      <c r="J62" s="27">
        <f t="shared" si="16"/>
        <v>5625.0045550638224</v>
      </c>
      <c r="K62" s="27">
        <f t="shared" si="16"/>
        <v>5822.7234651743156</v>
      </c>
      <c r="L62" s="27">
        <f t="shared" si="16"/>
        <v>5998.1330095626918</v>
      </c>
      <c r="M62" s="27">
        <f t="shared" si="16"/>
        <v>6178.8267664757659</v>
      </c>
      <c r="N62" s="84">
        <f t="shared" si="16"/>
        <v>6302.8667138127648</v>
      </c>
    </row>
    <row r="63" spans="1:15" s="11" customFormat="1" ht="15" customHeight="1" outlineLevel="1">
      <c r="B63" s="98" t="s">
        <v>25</v>
      </c>
      <c r="C63" s="6"/>
      <c r="D63" s="20"/>
      <c r="E63" s="10"/>
      <c r="F63" s="27">
        <f>F58*F$52/1000</f>
        <v>411.23819999999995</v>
      </c>
      <c r="G63" s="27">
        <f t="shared" ref="G63:N63" si="17">G58*G$52/1000</f>
        <v>429.54659999999996</v>
      </c>
      <c r="H63" s="27">
        <f t="shared" si="17"/>
        <v>448.87700000000001</v>
      </c>
      <c r="I63" s="27">
        <f t="shared" si="17"/>
        <v>469.23357194999994</v>
      </c>
      <c r="J63" s="27">
        <f t="shared" si="17"/>
        <v>488.14368489958491</v>
      </c>
      <c r="K63" s="27">
        <f t="shared" si="17"/>
        <v>505.30193542380528</v>
      </c>
      <c r="L63" s="27">
        <f t="shared" si="17"/>
        <v>520.52415622844728</v>
      </c>
      <c r="M63" s="27">
        <f t="shared" si="17"/>
        <v>536.20494643482925</v>
      </c>
      <c r="N63" s="84">
        <f t="shared" si="17"/>
        <v>546.96926073450811</v>
      </c>
    </row>
    <row r="64" spans="1:15" s="11" customFormat="1" ht="15" customHeight="1" outlineLevel="1">
      <c r="B64" s="98" t="s">
        <v>30</v>
      </c>
      <c r="C64" s="6"/>
      <c r="D64" s="20"/>
      <c r="E64" s="10"/>
      <c r="F64" s="28">
        <f>F59*F$52/1000</f>
        <v>772.32540000000006</v>
      </c>
      <c r="G64" s="28">
        <f t="shared" ref="G64:N64" si="18">G59*G$52/1000</f>
        <v>807.95670000000007</v>
      </c>
      <c r="H64" s="28">
        <f t="shared" si="18"/>
        <v>845.55899999999997</v>
      </c>
      <c r="I64" s="28">
        <f t="shared" si="18"/>
        <v>883.90510065000001</v>
      </c>
      <c r="J64" s="28">
        <f t="shared" si="18"/>
        <v>919.52647620619507</v>
      </c>
      <c r="K64" s="28">
        <f t="shared" si="18"/>
        <v>951.84783184484263</v>
      </c>
      <c r="L64" s="28">
        <f t="shared" si="18"/>
        <v>980.52224777916854</v>
      </c>
      <c r="M64" s="28">
        <f t="shared" si="18"/>
        <v>1010.0604804935158</v>
      </c>
      <c r="N64" s="84">
        <f t="shared" si="18"/>
        <v>1030.3374446394228</v>
      </c>
    </row>
    <row r="65" spans="2:15" s="11" customFormat="1" ht="15" customHeight="1" outlineLevel="1">
      <c r="B65" s="98" t="s">
        <v>31</v>
      </c>
      <c r="C65" s="19"/>
      <c r="D65" s="20"/>
      <c r="E65" s="13"/>
      <c r="F65" s="27">
        <f>SUM(F62:F64)</f>
        <v>5952.9236999999994</v>
      </c>
      <c r="G65" s="27">
        <f t="shared" ref="G65:N65" si="19">SUM(G62:G64)</f>
        <v>6207.9710999999998</v>
      </c>
      <c r="H65" s="27">
        <f t="shared" si="19"/>
        <v>6466.960500000001</v>
      </c>
      <c r="I65" s="27">
        <f t="shared" si="19"/>
        <v>6760.2371586749996</v>
      </c>
      <c r="J65" s="27">
        <f t="shared" si="19"/>
        <v>7032.6747161696021</v>
      </c>
      <c r="K65" s="27">
        <f t="shared" si="19"/>
        <v>7279.8732324429629</v>
      </c>
      <c r="L65" s="27">
        <f t="shared" si="19"/>
        <v>7499.1794135703076</v>
      </c>
      <c r="M65" s="27">
        <f t="shared" si="19"/>
        <v>7725.0921934041107</v>
      </c>
      <c r="N65" s="108">
        <f t="shared" si="19"/>
        <v>7880.1734191866954</v>
      </c>
      <c r="O65" s="313"/>
    </row>
    <row r="66" spans="2:15" s="11" customFormat="1" ht="15" customHeight="1" outlineLevel="1">
      <c r="B66" s="33"/>
      <c r="C66" s="36"/>
      <c r="D66" s="34"/>
      <c r="E66" s="25"/>
      <c r="F66" s="22"/>
      <c r="G66" s="22"/>
      <c r="H66" s="22"/>
      <c r="I66" s="22"/>
      <c r="J66" s="22"/>
      <c r="K66" s="22"/>
      <c r="L66" s="22"/>
      <c r="M66" s="22"/>
      <c r="N66" s="22"/>
    </row>
    <row r="67" spans="2:15" s="11" customFormat="1" ht="15" customHeight="1" outlineLevel="1">
      <c r="B67" s="12"/>
      <c r="C67" s="19"/>
      <c r="D67" s="20"/>
      <c r="E67" s="13"/>
      <c r="F67" s="18"/>
      <c r="G67" s="18"/>
      <c r="H67" s="18"/>
      <c r="I67" s="18"/>
      <c r="J67" s="18"/>
      <c r="K67" s="18"/>
      <c r="L67" s="18"/>
      <c r="M67" s="18"/>
      <c r="N67" s="18"/>
    </row>
    <row r="68" spans="2:15" s="11" customFormat="1" ht="15" customHeight="1" outlineLevel="1">
      <c r="B68" s="14" t="s">
        <v>136</v>
      </c>
      <c r="C68" s="19"/>
      <c r="D68" s="20"/>
      <c r="E68" s="13"/>
      <c r="F68" s="18"/>
      <c r="G68" s="18"/>
      <c r="H68" s="18"/>
      <c r="I68" s="18"/>
      <c r="J68" s="18"/>
      <c r="K68" s="18"/>
      <c r="L68" s="18"/>
      <c r="M68" s="18"/>
      <c r="N68" s="21"/>
      <c r="O68" s="39"/>
    </row>
    <row r="69" spans="2:15" s="11" customFormat="1" ht="15" customHeight="1" outlineLevel="1">
      <c r="B69" s="278"/>
      <c r="C69" s="19"/>
      <c r="D69" s="20"/>
      <c r="E69" s="13"/>
      <c r="F69" s="18"/>
      <c r="G69" s="18"/>
      <c r="H69" s="18"/>
      <c r="I69" s="18"/>
      <c r="J69" s="18"/>
      <c r="K69" s="18"/>
      <c r="L69" s="18"/>
      <c r="M69" s="18"/>
      <c r="N69" s="21"/>
      <c r="O69" s="39"/>
    </row>
    <row r="70" spans="2:15" s="11" customFormat="1" ht="15" customHeight="1" outlineLevel="1">
      <c r="B70" s="98" t="s">
        <v>222</v>
      </c>
      <c r="C70" s="6"/>
      <c r="D70" s="20" t="s">
        <v>19</v>
      </c>
      <c r="E70" s="10"/>
      <c r="F70" s="32">
        <f>(F75*1000)/F$52</f>
        <v>31.165879045283244</v>
      </c>
      <c r="G70" s="32">
        <f t="shared" ref="G70:N70" si="20">(G75*1000)/G$52</f>
        <v>31.236005592873976</v>
      </c>
      <c r="H70" s="32">
        <f t="shared" si="20"/>
        <v>31.307596513075964</v>
      </c>
      <c r="I70" s="32">
        <f t="shared" si="20"/>
        <v>32.082537020825363</v>
      </c>
      <c r="J70" s="32">
        <f t="shared" si="20"/>
        <v>32.717834783613995</v>
      </c>
      <c r="K70" s="32">
        <f t="shared" si="20"/>
        <v>33.531711270768575</v>
      </c>
      <c r="L70" s="32">
        <f t="shared" si="20"/>
        <v>34.199009007500294</v>
      </c>
      <c r="M70" s="32">
        <f t="shared" si="20"/>
        <v>34.879586301181888</v>
      </c>
      <c r="N70" s="107">
        <f t="shared" si="20"/>
        <v>35.226646861392659</v>
      </c>
    </row>
    <row r="71" spans="2:15" s="11" customFormat="1" ht="15" customHeight="1" outlineLevel="1">
      <c r="B71" s="98" t="s">
        <v>28</v>
      </c>
      <c r="C71" s="6"/>
      <c r="D71" s="20" t="s">
        <v>19</v>
      </c>
      <c r="E71" s="10"/>
      <c r="F71" s="32">
        <f>(F76*1000)/F$52</f>
        <v>7.2800143566429387</v>
      </c>
      <c r="G71" s="32">
        <f t="shared" ref="G71:N71" si="21">(G76*1000)/G$52</f>
        <v>7.2961583213555876</v>
      </c>
      <c r="H71" s="32">
        <f t="shared" si="21"/>
        <v>7.312961011591149</v>
      </c>
      <c r="I71" s="32">
        <f t="shared" si="21"/>
        <v>7.4939748980166723</v>
      </c>
      <c r="J71" s="32">
        <f t="shared" si="21"/>
        <v>7.6423704405516562</v>
      </c>
      <c r="K71" s="32">
        <f t="shared" si="21"/>
        <v>7.832479157978316</v>
      </c>
      <c r="L71" s="32">
        <f t="shared" si="21"/>
        <v>7.9883493899778841</v>
      </c>
      <c r="M71" s="32">
        <f t="shared" si="21"/>
        <v>8.1473215171416236</v>
      </c>
      <c r="N71" s="86">
        <f t="shared" si="21"/>
        <v>8.2283893929340781</v>
      </c>
    </row>
    <row r="72" spans="2:15" s="11" customFormat="1" ht="15" customHeight="1" outlineLevel="1">
      <c r="B72" s="98" t="s">
        <v>27</v>
      </c>
      <c r="C72" s="6"/>
      <c r="D72" s="20" t="s">
        <v>19</v>
      </c>
      <c r="E72" s="10"/>
      <c r="F72" s="106">
        <f>(F77*1000)/F$52</f>
        <v>4.9111682718191059</v>
      </c>
      <c r="G72" s="106">
        <f t="shared" ref="G72:N72" si="22">(G77*1000)/G$52</f>
        <v>4.9221202076794466</v>
      </c>
      <c r="H72" s="106">
        <f t="shared" si="22"/>
        <v>4.9334227416419196</v>
      </c>
      <c r="I72" s="106">
        <f t="shared" si="22"/>
        <v>5.0555371659399873</v>
      </c>
      <c r="J72" s="106">
        <f t="shared" si="22"/>
        <v>5.1556468127902839</v>
      </c>
      <c r="K72" s="106">
        <f t="shared" si="22"/>
        <v>5.2838967335064622</v>
      </c>
      <c r="L72" s="106">
        <f t="shared" si="22"/>
        <v>5.3890489073075853</v>
      </c>
      <c r="M72" s="106">
        <f t="shared" si="22"/>
        <v>5.4962936616818654</v>
      </c>
      <c r="N72" s="94">
        <f t="shared" si="22"/>
        <v>5.5509831508528302</v>
      </c>
    </row>
    <row r="73" spans="2:15" s="11" customFormat="1" ht="15" customHeight="1" outlineLevel="1">
      <c r="B73" s="98" t="s">
        <v>31</v>
      </c>
      <c r="C73" s="19"/>
      <c r="D73" s="20"/>
      <c r="E73" s="13"/>
      <c r="F73" s="32">
        <f>SUM(F70:F72)</f>
        <v>43.357061673745292</v>
      </c>
      <c r="G73" s="32">
        <f t="shared" ref="G73:N73" si="23">SUM(G70:G72)</f>
        <v>43.454284121909012</v>
      </c>
      <c r="H73" s="32">
        <f t="shared" si="23"/>
        <v>43.553980266309033</v>
      </c>
      <c r="I73" s="32">
        <f t="shared" si="23"/>
        <v>44.632049084782025</v>
      </c>
      <c r="J73" s="32">
        <f t="shared" si="23"/>
        <v>45.515852036955934</v>
      </c>
      <c r="K73" s="32">
        <f t="shared" si="23"/>
        <v>46.648087162253354</v>
      </c>
      <c r="L73" s="32">
        <f t="shared" si="23"/>
        <v>47.576407304785761</v>
      </c>
      <c r="M73" s="32">
        <f t="shared" si="23"/>
        <v>48.523201480005376</v>
      </c>
      <c r="N73" s="86">
        <f t="shared" si="23"/>
        <v>49.006019405179565</v>
      </c>
    </row>
    <row r="74" spans="2:15" s="11" customFormat="1" ht="15" customHeight="1" outlineLevel="1">
      <c r="B74" s="19"/>
      <c r="C74" s="19"/>
      <c r="D74" s="20"/>
      <c r="E74" s="13"/>
      <c r="F74" s="18"/>
      <c r="G74" s="18"/>
      <c r="H74" s="18"/>
      <c r="I74" s="18"/>
      <c r="J74" s="18"/>
      <c r="K74" s="18"/>
      <c r="L74" s="18"/>
      <c r="M74" s="18"/>
      <c r="N74" s="93"/>
    </row>
    <row r="75" spans="2:15" s="11" customFormat="1" ht="15" customHeight="1" outlineLevel="1">
      <c r="B75" s="98" t="s">
        <v>222</v>
      </c>
      <c r="C75" s="6"/>
      <c r="D75" s="565"/>
      <c r="E75" s="10"/>
      <c r="F75" s="565">
        <v>15630</v>
      </c>
      <c r="G75" s="565">
        <v>15973</v>
      </c>
      <c r="H75" s="565">
        <v>16341</v>
      </c>
      <c r="I75" s="38">
        <f>H75*(1+I$53)</f>
        <v>16912.934999999998</v>
      </c>
      <c r="J75" s="38">
        <f t="shared" ref="I75:N77" si="24">I75*(1+J$53)</f>
        <v>17420.323049999999</v>
      </c>
      <c r="K75" s="38">
        <f t="shared" si="24"/>
        <v>17942.932741500001</v>
      </c>
      <c r="L75" s="38">
        <f t="shared" si="24"/>
        <v>18391.5060600375</v>
      </c>
      <c r="M75" s="38">
        <f t="shared" si="24"/>
        <v>18851.293711538437</v>
      </c>
      <c r="N75" s="89">
        <f t="shared" si="24"/>
        <v>19134.063117211514</v>
      </c>
    </row>
    <row r="76" spans="2:15" s="11" customFormat="1" ht="15" customHeight="1" outlineLevel="1">
      <c r="B76" s="98" t="s">
        <v>28</v>
      </c>
      <c r="C76" s="6"/>
      <c r="D76" s="20"/>
      <c r="E76" s="10"/>
      <c r="F76" s="565">
        <v>3651</v>
      </c>
      <c r="G76" s="565">
        <v>3731</v>
      </c>
      <c r="H76" s="565">
        <v>3817</v>
      </c>
      <c r="I76" s="38">
        <f t="shared" si="24"/>
        <v>3950.5949999999998</v>
      </c>
      <c r="J76" s="38">
        <f t="shared" si="24"/>
        <v>4069.11285</v>
      </c>
      <c r="K76" s="38">
        <f t="shared" si="24"/>
        <v>4191.1862355000003</v>
      </c>
      <c r="L76" s="38">
        <f t="shared" si="24"/>
        <v>4295.9658913875001</v>
      </c>
      <c r="M76" s="38">
        <f t="shared" si="24"/>
        <v>4403.3650386721874</v>
      </c>
      <c r="N76" s="89">
        <f t="shared" si="24"/>
        <v>4469.4155142522695</v>
      </c>
    </row>
    <row r="77" spans="2:15" s="11" customFormat="1" ht="15" customHeight="1" outlineLevel="1">
      <c r="B77" s="98" t="s">
        <v>27</v>
      </c>
      <c r="C77" s="6"/>
      <c r="D77" s="20"/>
      <c r="E77" s="10"/>
      <c r="F77" s="571">
        <v>2463</v>
      </c>
      <c r="G77" s="571">
        <v>2517</v>
      </c>
      <c r="H77" s="571">
        <v>2575</v>
      </c>
      <c r="I77" s="156">
        <f t="shared" si="24"/>
        <v>2665.125</v>
      </c>
      <c r="J77" s="156">
        <f t="shared" si="24"/>
        <v>2745.0787500000001</v>
      </c>
      <c r="K77" s="156">
        <f t="shared" si="24"/>
        <v>2827.4311125000004</v>
      </c>
      <c r="L77" s="156">
        <f t="shared" si="24"/>
        <v>2898.1168903125003</v>
      </c>
      <c r="M77" s="156">
        <f t="shared" si="24"/>
        <v>2970.5698125703125</v>
      </c>
      <c r="N77" s="89">
        <f t="shared" si="24"/>
        <v>3015.1283597588667</v>
      </c>
    </row>
    <row r="78" spans="2:15" s="11" customFormat="1" ht="15" customHeight="1" outlineLevel="1">
      <c r="B78" s="98" t="s">
        <v>31</v>
      </c>
      <c r="C78" s="19"/>
      <c r="D78" s="20"/>
      <c r="E78" s="13"/>
      <c r="F78" s="27">
        <f>SUM(F75:F77)</f>
        <v>21744</v>
      </c>
      <c r="G78" s="27">
        <f t="shared" ref="G78:N78" si="25">SUM(G75:G77)</f>
        <v>22221</v>
      </c>
      <c r="H78" s="27">
        <f t="shared" si="25"/>
        <v>22733</v>
      </c>
      <c r="I78" s="27">
        <f t="shared" si="25"/>
        <v>23528.654999999999</v>
      </c>
      <c r="J78" s="27">
        <f t="shared" si="25"/>
        <v>24234.514650000001</v>
      </c>
      <c r="K78" s="27">
        <f t="shared" si="25"/>
        <v>24961.5500895</v>
      </c>
      <c r="L78" s="27">
        <f t="shared" si="25"/>
        <v>25585.588841737499</v>
      </c>
      <c r="M78" s="27">
        <f t="shared" si="25"/>
        <v>26225.22856278094</v>
      </c>
      <c r="N78" s="108">
        <f t="shared" si="25"/>
        <v>26618.606991222649</v>
      </c>
    </row>
    <row r="79" spans="2:15" s="11" customFormat="1" ht="15" customHeight="1" outlineLevel="1">
      <c r="B79" s="33"/>
      <c r="C79" s="36"/>
      <c r="D79" s="34"/>
      <c r="E79" s="25"/>
      <c r="F79" s="22"/>
      <c r="G79" s="117"/>
      <c r="H79" s="117"/>
      <c r="I79" s="22"/>
      <c r="J79" s="22"/>
      <c r="K79" s="22"/>
      <c r="L79" s="22"/>
      <c r="M79" s="22"/>
      <c r="N79" s="22"/>
    </row>
    <row r="80" spans="2:15" s="11" customFormat="1" ht="15" customHeight="1" outlineLevel="1">
      <c r="B80" s="12"/>
      <c r="C80" s="19"/>
      <c r="D80" s="20"/>
      <c r="E80" s="13"/>
      <c r="F80" s="18"/>
      <c r="G80" s="115"/>
      <c r="H80" s="115"/>
      <c r="I80" s="18"/>
      <c r="J80" s="18"/>
      <c r="K80" s="18"/>
      <c r="L80" s="18"/>
      <c r="M80" s="18"/>
      <c r="N80" s="18"/>
    </row>
    <row r="81" spans="1:15" s="11" customFormat="1" ht="15" customHeight="1" outlineLevel="1">
      <c r="B81" s="14" t="s">
        <v>138</v>
      </c>
      <c r="C81" s="19"/>
      <c r="D81" s="20"/>
      <c r="E81" s="13"/>
      <c r="F81" s="18"/>
      <c r="G81" s="18"/>
      <c r="H81" s="18"/>
      <c r="I81" s="18"/>
    </row>
    <row r="82" spans="1:15" s="11" customFormat="1" ht="15" customHeight="1" outlineLevel="1">
      <c r="B82" s="14"/>
      <c r="C82" s="19"/>
      <c r="D82" s="20"/>
      <c r="E82" s="13"/>
      <c r="F82" s="18"/>
      <c r="G82" s="18"/>
      <c r="H82" s="18"/>
      <c r="I82" s="18"/>
      <c r="J82" s="18"/>
      <c r="K82" s="18"/>
      <c r="L82" s="18"/>
      <c r="M82" s="18"/>
      <c r="N82" s="21"/>
    </row>
    <row r="83" spans="1:15" s="11" customFormat="1" ht="15" customHeight="1" outlineLevel="1">
      <c r="B83" s="98" t="s">
        <v>24</v>
      </c>
      <c r="C83" s="19"/>
      <c r="D83" s="20" t="s">
        <v>19</v>
      </c>
      <c r="E83" s="13"/>
      <c r="F83" s="32">
        <f t="shared" ref="F83:N83" si="26">F60</f>
        <v>11.870000000000001</v>
      </c>
      <c r="G83" s="32">
        <f t="shared" si="26"/>
        <v>12.14</v>
      </c>
      <c r="H83" s="32">
        <f t="shared" si="26"/>
        <v>12.39</v>
      </c>
      <c r="I83" s="32">
        <f t="shared" si="26"/>
        <v>12.823650000000001</v>
      </c>
      <c r="J83" s="32">
        <f t="shared" si="26"/>
        <v>13.2083595</v>
      </c>
      <c r="K83" s="32">
        <f t="shared" si="26"/>
        <v>13.604610285000001</v>
      </c>
      <c r="L83" s="32">
        <f t="shared" si="26"/>
        <v>13.944725542124999</v>
      </c>
      <c r="M83" s="32">
        <f t="shared" si="26"/>
        <v>14.293343680678124</v>
      </c>
      <c r="N83" s="107">
        <f t="shared" si="26"/>
        <v>14.507743835888295</v>
      </c>
    </row>
    <row r="84" spans="1:15" s="11" customFormat="1" ht="15" customHeight="1" outlineLevel="1">
      <c r="B84" s="98" t="s">
        <v>26</v>
      </c>
      <c r="C84" s="19"/>
      <c r="D84" s="20" t="s">
        <v>19</v>
      </c>
      <c r="E84" s="13"/>
      <c r="F84" s="106">
        <f t="shared" ref="F84:N84" si="27">F73</f>
        <v>43.357061673745292</v>
      </c>
      <c r="G84" s="106">
        <f t="shared" si="27"/>
        <v>43.454284121909012</v>
      </c>
      <c r="H84" s="106">
        <f t="shared" si="27"/>
        <v>43.553980266309033</v>
      </c>
      <c r="I84" s="106">
        <f t="shared" si="27"/>
        <v>44.632049084782025</v>
      </c>
      <c r="J84" s="106">
        <f t="shared" si="27"/>
        <v>45.515852036955934</v>
      </c>
      <c r="K84" s="106">
        <f t="shared" si="27"/>
        <v>46.648087162253354</v>
      </c>
      <c r="L84" s="106">
        <f t="shared" si="27"/>
        <v>47.576407304785761</v>
      </c>
      <c r="M84" s="106">
        <f t="shared" si="27"/>
        <v>48.523201480005376</v>
      </c>
      <c r="N84" s="94">
        <f t="shared" si="27"/>
        <v>49.006019405179565</v>
      </c>
    </row>
    <row r="85" spans="1:15" s="11" customFormat="1" ht="15" customHeight="1" outlineLevel="1">
      <c r="B85" s="98" t="s">
        <v>32</v>
      </c>
      <c r="C85" s="19"/>
      <c r="D85" s="20" t="s">
        <v>19</v>
      </c>
      <c r="E85" s="13"/>
      <c r="F85" s="32">
        <f>SUM(F83:F84)</f>
        <v>55.227061673745297</v>
      </c>
      <c r="G85" s="32">
        <f t="shared" ref="G85:N85" si="28">SUM(G83:G84)</f>
        <v>55.594284121909013</v>
      </c>
      <c r="H85" s="32">
        <f t="shared" si="28"/>
        <v>55.943980266309033</v>
      </c>
      <c r="I85" s="32">
        <f t="shared" si="28"/>
        <v>57.455699084782026</v>
      </c>
      <c r="J85" s="32">
        <f t="shared" si="28"/>
        <v>58.724211536955934</v>
      </c>
      <c r="K85" s="32">
        <f t="shared" si="28"/>
        <v>60.252697447253354</v>
      </c>
      <c r="L85" s="32">
        <f t="shared" si="28"/>
        <v>61.52113284691076</v>
      </c>
      <c r="M85" s="32">
        <f t="shared" si="28"/>
        <v>62.816545160683503</v>
      </c>
      <c r="N85" s="86">
        <f t="shared" si="28"/>
        <v>63.513763241067863</v>
      </c>
    </row>
    <row r="86" spans="1:15" s="11" customFormat="1" ht="15" customHeight="1" outlineLevel="1">
      <c r="B86" s="12"/>
      <c r="C86" s="19"/>
      <c r="D86" s="20"/>
      <c r="E86" s="13"/>
      <c r="F86" s="32"/>
      <c r="G86" s="32"/>
      <c r="H86" s="32"/>
      <c r="I86" s="32"/>
      <c r="J86" s="32"/>
      <c r="K86" s="32"/>
      <c r="L86" s="32"/>
      <c r="M86" s="32"/>
      <c r="N86" s="86"/>
    </row>
    <row r="87" spans="1:15" s="11" customFormat="1" ht="15" customHeight="1" outlineLevel="1">
      <c r="B87" s="98" t="s">
        <v>24</v>
      </c>
      <c r="C87" s="19"/>
      <c r="D87" s="20"/>
      <c r="E87" s="13"/>
      <c r="F87" s="27">
        <f t="shared" ref="F87:N87" si="29">F65</f>
        <v>5952.9236999999994</v>
      </c>
      <c r="G87" s="27">
        <f t="shared" si="29"/>
        <v>6207.9710999999998</v>
      </c>
      <c r="H87" s="27">
        <f t="shared" si="29"/>
        <v>6466.960500000001</v>
      </c>
      <c r="I87" s="27">
        <f t="shared" si="29"/>
        <v>6760.2371586749996</v>
      </c>
      <c r="J87" s="27">
        <f t="shared" si="29"/>
        <v>7032.6747161696021</v>
      </c>
      <c r="K87" s="27">
        <f t="shared" si="29"/>
        <v>7279.8732324429629</v>
      </c>
      <c r="L87" s="27">
        <f t="shared" si="29"/>
        <v>7499.1794135703076</v>
      </c>
      <c r="M87" s="27">
        <f t="shared" si="29"/>
        <v>7725.0921934041107</v>
      </c>
      <c r="N87" s="84">
        <f t="shared" si="29"/>
        <v>7880.1734191866954</v>
      </c>
    </row>
    <row r="88" spans="1:15" s="11" customFormat="1" ht="15" customHeight="1" outlineLevel="1">
      <c r="B88" s="98" t="s">
        <v>26</v>
      </c>
      <c r="C88" s="19"/>
      <c r="D88" s="20"/>
      <c r="E88" s="13"/>
      <c r="F88" s="27">
        <f t="shared" ref="F88:N88" si="30">F78</f>
        <v>21744</v>
      </c>
      <c r="G88" s="27">
        <f t="shared" si="30"/>
        <v>22221</v>
      </c>
      <c r="H88" s="27">
        <f t="shared" si="30"/>
        <v>22733</v>
      </c>
      <c r="I88" s="27">
        <f t="shared" si="30"/>
        <v>23528.654999999999</v>
      </c>
      <c r="J88" s="27">
        <f t="shared" si="30"/>
        <v>24234.514650000001</v>
      </c>
      <c r="K88" s="27">
        <f t="shared" si="30"/>
        <v>24961.5500895</v>
      </c>
      <c r="L88" s="27">
        <f t="shared" si="30"/>
        <v>25585.588841737499</v>
      </c>
      <c r="M88" s="27">
        <f t="shared" si="30"/>
        <v>26225.22856278094</v>
      </c>
      <c r="N88" s="84">
        <f t="shared" si="30"/>
        <v>26618.606991222649</v>
      </c>
    </row>
    <row r="89" spans="1:15" s="11" customFormat="1" ht="15" customHeight="1" outlineLevel="1" thickBot="1">
      <c r="B89" s="98" t="s">
        <v>32</v>
      </c>
      <c r="C89" s="19"/>
      <c r="D89" s="20"/>
      <c r="E89" s="13"/>
      <c r="F89" s="407">
        <f>SUM(F87:F88)</f>
        <v>27696.923699999999</v>
      </c>
      <c r="G89" s="407">
        <f t="shared" ref="G89:N89" si="31">SUM(G87:G88)</f>
        <v>28428.971099999999</v>
      </c>
      <c r="H89" s="407">
        <f t="shared" si="31"/>
        <v>29199.960500000001</v>
      </c>
      <c r="I89" s="407">
        <f t="shared" si="31"/>
        <v>30288.892158675</v>
      </c>
      <c r="J89" s="407">
        <f t="shared" si="31"/>
        <v>31267.189366169601</v>
      </c>
      <c r="K89" s="407">
        <f>SUM(K87:K88)</f>
        <v>32241.423321942963</v>
      </c>
      <c r="L89" s="407">
        <f t="shared" si="31"/>
        <v>33084.768255307805</v>
      </c>
      <c r="M89" s="407">
        <f t="shared" si="31"/>
        <v>33950.32075618505</v>
      </c>
      <c r="N89" s="408">
        <f t="shared" si="31"/>
        <v>34498.780410409345</v>
      </c>
    </row>
    <row r="90" spans="1:15" s="11" customFormat="1" ht="15" customHeight="1" outlineLevel="1">
      <c r="B90" s="14"/>
      <c r="C90" s="19"/>
      <c r="D90" s="20"/>
      <c r="E90" s="13"/>
      <c r="F90" s="27"/>
      <c r="G90" s="27"/>
      <c r="H90" s="27"/>
      <c r="I90" s="27"/>
      <c r="J90" s="27"/>
      <c r="K90" s="27"/>
      <c r="L90" s="27"/>
      <c r="M90" s="27"/>
      <c r="N90" s="27"/>
    </row>
    <row r="91" spans="1:15" s="11" customFormat="1" ht="15" customHeight="1" outlineLevel="1">
      <c r="B91" s="33"/>
      <c r="C91" s="30"/>
      <c r="D91" s="34"/>
      <c r="E91" s="31"/>
      <c r="F91" s="571"/>
      <c r="G91" s="571"/>
      <c r="H91" s="572"/>
      <c r="I91" s="572"/>
      <c r="J91" s="572"/>
      <c r="K91" s="572"/>
      <c r="L91" s="572"/>
      <c r="M91" s="572"/>
      <c r="N91" s="572"/>
      <c r="O91" s="39"/>
    </row>
    <row r="92" spans="1:15" s="11" customFormat="1" ht="15" customHeight="1">
      <c r="B92" s="12"/>
      <c r="C92" s="6"/>
      <c r="D92" s="20"/>
      <c r="E92" s="10"/>
      <c r="F92" s="565"/>
      <c r="G92" s="565"/>
      <c r="H92" s="565"/>
      <c r="I92" s="38"/>
      <c r="J92" s="38"/>
      <c r="K92" s="38"/>
      <c r="L92" s="38"/>
      <c r="M92" s="38"/>
      <c r="N92" s="38"/>
      <c r="O92" s="39"/>
    </row>
    <row r="93" spans="1:15" s="5" customFormat="1" ht="15" customHeight="1">
      <c r="A93" s="11" t="s">
        <v>151</v>
      </c>
      <c r="B93" s="505" t="s">
        <v>38</v>
      </c>
      <c r="C93" s="489"/>
      <c r="D93" s="490"/>
      <c r="E93" s="490"/>
      <c r="F93" s="491"/>
      <c r="G93" s="491"/>
      <c r="H93" s="491"/>
      <c r="I93" s="491"/>
      <c r="J93" s="491"/>
      <c r="K93" s="491"/>
      <c r="L93" s="491"/>
      <c r="M93" s="491"/>
      <c r="N93" s="566"/>
    </row>
    <row r="94" spans="1:15" s="5" customFormat="1" ht="15" customHeight="1" outlineLevel="1">
      <c r="B94" s="506"/>
      <c r="C94" s="6"/>
      <c r="D94" s="7"/>
      <c r="E94" s="7"/>
      <c r="F94" s="8"/>
      <c r="G94" s="8"/>
      <c r="H94" s="8"/>
      <c r="I94" s="8"/>
      <c r="J94" s="8"/>
      <c r="K94" s="8"/>
      <c r="L94" s="8"/>
      <c r="M94" s="8"/>
      <c r="N94" s="8"/>
    </row>
    <row r="95" spans="1:15" s="5" customFormat="1" ht="15" customHeight="1" outlineLevel="1" thickBot="1">
      <c r="B95" s="9" t="s">
        <v>22</v>
      </c>
      <c r="C95" s="6"/>
      <c r="D95" s="10"/>
      <c r="E95" s="10"/>
      <c r="F95" s="97">
        <f>F$5</f>
        <v>2020</v>
      </c>
      <c r="G95" s="97">
        <f t="shared" ref="G95:N95" si="32">G$5</f>
        <v>2021</v>
      </c>
      <c r="H95" s="97">
        <f t="shared" si="32"/>
        <v>2022</v>
      </c>
      <c r="I95" s="87">
        <f t="shared" si="32"/>
        <v>2023</v>
      </c>
      <c r="J95" s="87">
        <f t="shared" si="32"/>
        <v>2024</v>
      </c>
      <c r="K95" s="87">
        <f t="shared" si="32"/>
        <v>2025</v>
      </c>
      <c r="L95" s="87">
        <f t="shared" si="32"/>
        <v>2026</v>
      </c>
      <c r="M95" s="87">
        <f t="shared" si="32"/>
        <v>2027</v>
      </c>
      <c r="N95" s="87" t="str">
        <f t="shared" si="32"/>
        <v>Term</v>
      </c>
    </row>
    <row r="96" spans="1:15" ht="15" customHeight="1" outlineLevel="1">
      <c r="A96" s="11"/>
      <c r="B96" s="9" t="str">
        <f>$B$6</f>
        <v>Model Running: Worst Case Drivers</v>
      </c>
      <c r="C96" s="6"/>
      <c r="D96" s="10"/>
      <c r="E96" s="10"/>
      <c r="F96" s="10"/>
      <c r="G96" s="10"/>
      <c r="H96" s="10"/>
      <c r="I96" s="37"/>
      <c r="J96" s="37"/>
      <c r="K96" s="37"/>
      <c r="L96" s="37"/>
      <c r="M96" s="37"/>
      <c r="N96" s="37"/>
    </row>
    <row r="97" spans="1:15" s="5" customFormat="1" ht="15" customHeight="1" outlineLevel="1">
      <c r="B97" s="9"/>
      <c r="C97" s="6"/>
      <c r="D97" s="10"/>
      <c r="E97" s="10"/>
      <c r="F97" s="10"/>
      <c r="G97" s="10"/>
      <c r="H97" s="10"/>
    </row>
    <row r="98" spans="1:15" ht="15" customHeight="1" outlineLevel="1">
      <c r="A98" s="11"/>
      <c r="B98" s="12" t="s">
        <v>29</v>
      </c>
      <c r="C98" s="6"/>
      <c r="D98" s="10"/>
      <c r="E98" s="10"/>
      <c r="F98" s="397">
        <f t="shared" ref="F98:N98" si="33">F53</f>
        <v>2.4E-2</v>
      </c>
      <c r="G98" s="398">
        <f t="shared" si="33"/>
        <v>2.1999999999999999E-2</v>
      </c>
      <c r="H98" s="398">
        <f t="shared" si="33"/>
        <v>2.3E-2</v>
      </c>
      <c r="I98" s="398">
        <f t="shared" si="33"/>
        <v>3.5000000000000003E-2</v>
      </c>
      <c r="J98" s="398">
        <f t="shared" si="33"/>
        <v>0.03</v>
      </c>
      <c r="K98" s="398">
        <f t="shared" si="33"/>
        <v>0.03</v>
      </c>
      <c r="L98" s="398">
        <f t="shared" si="33"/>
        <v>2.5000000000000001E-2</v>
      </c>
      <c r="M98" s="398">
        <f t="shared" si="33"/>
        <v>2.5000000000000001E-2</v>
      </c>
      <c r="N98" s="399">
        <f t="shared" si="33"/>
        <v>1.4999999999999999E-2</v>
      </c>
    </row>
    <row r="99" spans="1:15" ht="15" customHeight="1" outlineLevel="1">
      <c r="A99" s="11"/>
      <c r="B99" s="12"/>
      <c r="C99" s="6"/>
      <c r="D99" s="10"/>
      <c r="E99" s="10"/>
      <c r="F99" s="569"/>
      <c r="G99" s="569"/>
      <c r="H99" s="569"/>
      <c r="I99" s="569"/>
      <c r="J99" s="569"/>
      <c r="K99" s="569"/>
      <c r="L99" s="569"/>
      <c r="M99" s="569"/>
      <c r="N99" s="569"/>
    </row>
    <row r="100" spans="1:15" s="5" customFormat="1" ht="15" customHeight="1" outlineLevel="1">
      <c r="B100" s="314" t="s">
        <v>84</v>
      </c>
      <c r="C100" s="268">
        <f>Inputs!$L$105</f>
        <v>2520</v>
      </c>
      <c r="D100" s="10"/>
      <c r="E100" s="10"/>
      <c r="F100" s="10"/>
      <c r="G100" s="10"/>
      <c r="H100" s="10"/>
    </row>
    <row r="101" spans="1:15" s="5" customFormat="1" ht="15" customHeight="1" outlineLevel="1">
      <c r="B101" s="58" t="s">
        <v>53</v>
      </c>
      <c r="C101" s="251">
        <f>Inputs!$L$73</f>
        <v>0.3</v>
      </c>
      <c r="E101" s="10"/>
      <c r="F101" s="10"/>
      <c r="G101" s="10"/>
      <c r="H101" s="10"/>
      <c r="I101" s="37"/>
      <c r="J101" s="37"/>
      <c r="K101" s="37"/>
      <c r="L101" s="37"/>
      <c r="M101" s="37"/>
      <c r="O101" s="39"/>
    </row>
    <row r="102" spans="1:15" s="5" customFormat="1" ht="15" customHeight="1" outlineLevel="1">
      <c r="B102" s="311"/>
      <c r="C102" s="6"/>
      <c r="D102" s="10"/>
      <c r="E102" s="10"/>
      <c r="F102" s="10"/>
      <c r="G102" s="10"/>
      <c r="H102" s="10"/>
    </row>
    <row r="103" spans="1:15" s="11" customFormat="1" ht="15" customHeight="1" outlineLevel="1">
      <c r="B103" s="98" t="s">
        <v>2</v>
      </c>
      <c r="C103" s="13"/>
      <c r="D103" s="10"/>
      <c r="E103" s="13"/>
      <c r="F103" s="573">
        <v>51585</v>
      </c>
      <c r="G103" s="573">
        <v>53494</v>
      </c>
      <c r="H103" s="573">
        <v>55749</v>
      </c>
      <c r="I103" s="88">
        <f t="shared" ref="I103:N103" si="34">I40</f>
        <v>56870.04403795</v>
      </c>
      <c r="J103" s="88">
        <f t="shared" si="34"/>
        <v>58013.131923112793</v>
      </c>
      <c r="K103" s="88">
        <f t="shared" si="34"/>
        <v>58594.713570641987</v>
      </c>
      <c r="L103" s="88">
        <f t="shared" si="34"/>
        <v>59182.125574187667</v>
      </c>
      <c r="M103" s="88">
        <f t="shared" si="34"/>
        <v>59775.42638306888</v>
      </c>
      <c r="N103" s="464">
        <f t="shared" si="34"/>
        <v>60374.675032559127</v>
      </c>
    </row>
    <row r="104" spans="1:15" s="11" customFormat="1" ht="15" customHeight="1" outlineLevel="1">
      <c r="B104" s="98" t="s">
        <v>132</v>
      </c>
      <c r="C104" s="13"/>
      <c r="D104" s="13"/>
      <c r="E104" s="13"/>
      <c r="F104" s="574">
        <v>27697</v>
      </c>
      <c r="G104" s="574">
        <v>28429</v>
      </c>
      <c r="H104" s="574">
        <v>29200</v>
      </c>
      <c r="I104" s="465">
        <f t="shared" ref="I104:N104" si="35">I89</f>
        <v>30288.892158675</v>
      </c>
      <c r="J104" s="465">
        <f t="shared" si="35"/>
        <v>31267.189366169601</v>
      </c>
      <c r="K104" s="465">
        <f t="shared" si="35"/>
        <v>32241.423321942963</v>
      </c>
      <c r="L104" s="465">
        <f t="shared" si="35"/>
        <v>33084.768255307805</v>
      </c>
      <c r="M104" s="465">
        <f t="shared" si="35"/>
        <v>33950.32075618505</v>
      </c>
      <c r="N104" s="466">
        <f t="shared" si="35"/>
        <v>34498.780410409345</v>
      </c>
    </row>
    <row r="105" spans="1:15" s="11" customFormat="1" ht="15" customHeight="1" outlineLevel="1">
      <c r="B105" s="279" t="s">
        <v>39</v>
      </c>
      <c r="C105" s="15"/>
      <c r="D105" s="13"/>
      <c r="E105" s="13"/>
      <c r="F105" s="109">
        <f>F103-F104</f>
        <v>23888</v>
      </c>
      <c r="G105" s="109">
        <f t="shared" ref="G105:N105" si="36">G103-G104</f>
        <v>25065</v>
      </c>
      <c r="H105" s="109">
        <f t="shared" si="36"/>
        <v>26549</v>
      </c>
      <c r="I105" s="109">
        <f t="shared" si="36"/>
        <v>26581.151879274999</v>
      </c>
      <c r="J105" s="109">
        <f t="shared" si="36"/>
        <v>26745.942556943191</v>
      </c>
      <c r="K105" s="109">
        <f t="shared" si="36"/>
        <v>26353.290248699024</v>
      </c>
      <c r="L105" s="109">
        <f t="shared" si="36"/>
        <v>26097.357318879862</v>
      </c>
      <c r="M105" s="109">
        <f t="shared" si="36"/>
        <v>25825.105626883829</v>
      </c>
      <c r="N105" s="157">
        <f t="shared" si="36"/>
        <v>25875.894622149783</v>
      </c>
    </row>
    <row r="106" spans="1:15" s="11" customFormat="1" ht="15" customHeight="1" outlineLevel="1">
      <c r="B106" s="279"/>
      <c r="C106" s="15"/>
      <c r="D106" s="13"/>
      <c r="E106" s="13"/>
      <c r="F106" s="467"/>
      <c r="G106" s="467"/>
      <c r="H106" s="467"/>
      <c r="I106" s="109"/>
      <c r="J106" s="109"/>
      <c r="K106" s="109"/>
      <c r="L106" s="109"/>
      <c r="M106" s="109"/>
      <c r="N106" s="157"/>
    </row>
    <row r="107" spans="1:15" s="11" customFormat="1" ht="15" customHeight="1" outlineLevel="1">
      <c r="B107" s="98"/>
      <c r="C107" s="13"/>
      <c r="D107" s="13"/>
      <c r="E107" s="13"/>
      <c r="F107" s="575"/>
      <c r="G107" s="575"/>
      <c r="H107" s="575"/>
      <c r="I107" s="467"/>
      <c r="J107" s="467"/>
      <c r="K107" s="467"/>
      <c r="L107" s="467"/>
      <c r="M107" s="468"/>
      <c r="N107" s="469"/>
    </row>
    <row r="108" spans="1:15" s="11" customFormat="1" ht="15" customHeight="1" outlineLevel="1">
      <c r="B108" s="98" t="s">
        <v>128</v>
      </c>
      <c r="C108" s="13"/>
      <c r="D108" s="573"/>
      <c r="E108" s="13"/>
      <c r="F108" s="573">
        <v>5877</v>
      </c>
      <c r="G108" s="573">
        <v>6006</v>
      </c>
      <c r="H108" s="573">
        <v>6144</v>
      </c>
      <c r="I108" s="88">
        <f>H108*(1+I$98)</f>
        <v>6359.0399999999991</v>
      </c>
      <c r="J108" s="88">
        <f t="shared" ref="J108:N109" si="37">I108*(1+J$98)</f>
        <v>6549.8111999999992</v>
      </c>
      <c r="K108" s="88">
        <f t="shared" si="37"/>
        <v>6746.3055359999989</v>
      </c>
      <c r="L108" s="88">
        <f t="shared" si="37"/>
        <v>6914.963174399998</v>
      </c>
      <c r="M108" s="88">
        <f t="shared" si="37"/>
        <v>7087.8372537599971</v>
      </c>
      <c r="N108" s="110">
        <f t="shared" si="37"/>
        <v>7194.1548125663967</v>
      </c>
    </row>
    <row r="109" spans="1:15" s="11" customFormat="1" ht="15" customHeight="1" outlineLevel="1">
      <c r="B109" s="98" t="s">
        <v>47</v>
      </c>
      <c r="C109" s="13"/>
      <c r="D109" s="13"/>
      <c r="E109" s="13"/>
      <c r="F109" s="574">
        <v>1764</v>
      </c>
      <c r="G109" s="574">
        <v>1931</v>
      </c>
      <c r="H109" s="574">
        <v>2026</v>
      </c>
      <c r="I109" s="465">
        <f>H109*(1+I$98)</f>
        <v>2096.91</v>
      </c>
      <c r="J109" s="465">
        <f t="shared" si="37"/>
        <v>2159.8172999999997</v>
      </c>
      <c r="K109" s="465">
        <f t="shared" si="37"/>
        <v>2224.6118189999997</v>
      </c>
      <c r="L109" s="465">
        <f t="shared" si="37"/>
        <v>2280.2271144749993</v>
      </c>
      <c r="M109" s="465">
        <f t="shared" si="37"/>
        <v>2337.2327923368739</v>
      </c>
      <c r="N109" s="466">
        <f t="shared" si="37"/>
        <v>2372.2912842219266</v>
      </c>
    </row>
    <row r="110" spans="1:15" s="11" customFormat="1" ht="15" customHeight="1" outlineLevel="1">
      <c r="B110" s="279" t="s">
        <v>40</v>
      </c>
      <c r="C110" s="15"/>
      <c r="D110" s="13"/>
      <c r="E110" s="13"/>
      <c r="F110" s="109">
        <f>F105-SUM(F108:F109)</f>
        <v>16247</v>
      </c>
      <c r="G110" s="109">
        <f t="shared" ref="G110:N110" si="38">G105-SUM(G108:G109)</f>
        <v>17128</v>
      </c>
      <c r="H110" s="109">
        <f t="shared" si="38"/>
        <v>18379</v>
      </c>
      <c r="I110" s="109">
        <f>I105-SUM(I108:I109)</f>
        <v>18125.201879275002</v>
      </c>
      <c r="J110" s="109">
        <f>J105-SUM(J108:J109)</f>
        <v>18036.314056943193</v>
      </c>
      <c r="K110" s="109">
        <f t="shared" si="38"/>
        <v>17382.372893699026</v>
      </c>
      <c r="L110" s="109">
        <f t="shared" si="38"/>
        <v>16902.167030004865</v>
      </c>
      <c r="M110" s="109">
        <f t="shared" si="38"/>
        <v>16400.035580786956</v>
      </c>
      <c r="N110" s="157">
        <f t="shared" si="38"/>
        <v>16309.448525361458</v>
      </c>
    </row>
    <row r="111" spans="1:15" s="11" customFormat="1" ht="15" customHeight="1" outlineLevel="1">
      <c r="B111" s="279"/>
      <c r="C111" s="15"/>
      <c r="D111" s="13"/>
      <c r="E111" s="13"/>
      <c r="F111" s="467"/>
      <c r="G111" s="467"/>
      <c r="H111" s="467"/>
      <c r="I111" s="109"/>
      <c r="J111" s="109"/>
      <c r="K111" s="109"/>
      <c r="L111" s="109"/>
      <c r="M111" s="109"/>
      <c r="N111" s="157"/>
    </row>
    <row r="112" spans="1:15" s="11" customFormat="1" ht="15" customHeight="1" outlineLevel="1">
      <c r="B112" s="98"/>
      <c r="C112" s="13"/>
      <c r="D112" s="13"/>
      <c r="E112" s="13"/>
      <c r="F112" s="109"/>
      <c r="G112" s="109"/>
      <c r="H112" s="109"/>
      <c r="I112" s="109"/>
      <c r="J112" s="109"/>
      <c r="K112" s="109"/>
      <c r="L112" s="109"/>
      <c r="M112" s="109"/>
      <c r="N112" s="157"/>
    </row>
    <row r="113" spans="1:15" s="11" customFormat="1" ht="15" customHeight="1" outlineLevel="1">
      <c r="B113" s="98" t="s">
        <v>41</v>
      </c>
      <c r="C113" s="13"/>
      <c r="D113" s="13"/>
      <c r="E113" s="13"/>
      <c r="F113" s="574">
        <v>2960</v>
      </c>
      <c r="G113" s="574">
        <v>3196</v>
      </c>
      <c r="H113" s="574">
        <v>3452</v>
      </c>
      <c r="I113" s="465">
        <f>I200</f>
        <v>4188.375</v>
      </c>
      <c r="J113" s="465">
        <f>J200</f>
        <v>4443.375</v>
      </c>
      <c r="K113" s="465">
        <f>K200</f>
        <v>4708.375</v>
      </c>
      <c r="L113" s="465">
        <f>L200</f>
        <v>4980.875</v>
      </c>
      <c r="M113" s="465">
        <f>M200</f>
        <v>5258.375</v>
      </c>
      <c r="N113" s="470">
        <f>Inputs!L24</f>
        <v>5800</v>
      </c>
    </row>
    <row r="114" spans="1:15" s="11" customFormat="1" ht="15" customHeight="1" outlineLevel="1">
      <c r="B114" s="279" t="s">
        <v>42</v>
      </c>
      <c r="C114" s="15"/>
      <c r="D114" s="13"/>
      <c r="E114" s="13"/>
      <c r="F114" s="109">
        <f t="shared" ref="F114:N114" si="39">F110-F113</f>
        <v>13287</v>
      </c>
      <c r="G114" s="109">
        <f t="shared" si="39"/>
        <v>13932</v>
      </c>
      <c r="H114" s="109">
        <f t="shared" si="39"/>
        <v>14927</v>
      </c>
      <c r="I114" s="109">
        <f>I110-I113</f>
        <v>13936.826879275002</v>
      </c>
      <c r="J114" s="109">
        <f t="shared" si="39"/>
        <v>13592.939056943193</v>
      </c>
      <c r="K114" s="109">
        <f t="shared" si="39"/>
        <v>12673.997893699026</v>
      </c>
      <c r="L114" s="109">
        <f t="shared" si="39"/>
        <v>11921.292030004865</v>
      </c>
      <c r="M114" s="109">
        <f t="shared" si="39"/>
        <v>11141.660580786956</v>
      </c>
      <c r="N114" s="157">
        <f t="shared" si="39"/>
        <v>10509.448525361458</v>
      </c>
    </row>
    <row r="115" spans="1:15" s="11" customFormat="1" ht="15" customHeight="1" outlineLevel="1">
      <c r="B115" s="279"/>
      <c r="C115" s="15"/>
      <c r="D115" s="13"/>
      <c r="E115" s="13"/>
      <c r="F115" s="109"/>
      <c r="G115" s="109"/>
      <c r="H115" s="109"/>
      <c r="I115" s="109"/>
      <c r="J115" s="109"/>
      <c r="K115" s="109"/>
      <c r="L115" s="109"/>
      <c r="M115" s="109"/>
      <c r="N115" s="157"/>
    </row>
    <row r="116" spans="1:15" s="11" customFormat="1" ht="15" customHeight="1" outlineLevel="1">
      <c r="B116" s="98" t="s">
        <v>48</v>
      </c>
      <c r="C116" s="13"/>
      <c r="D116" s="13"/>
      <c r="E116" s="13"/>
      <c r="F116" s="574">
        <v>1488</v>
      </c>
      <c r="G116" s="574">
        <v>2580</v>
      </c>
      <c r="H116" s="574">
        <v>2448</v>
      </c>
      <c r="I116" s="465">
        <f>$C$100</f>
        <v>2520</v>
      </c>
      <c r="J116" s="465">
        <f t="shared" ref="J116:N116" si="40">$C$100</f>
        <v>2520</v>
      </c>
      <c r="K116" s="465">
        <f t="shared" si="40"/>
        <v>2520</v>
      </c>
      <c r="L116" s="465">
        <f t="shared" si="40"/>
        <v>2520</v>
      </c>
      <c r="M116" s="465">
        <f t="shared" si="40"/>
        <v>2520</v>
      </c>
      <c r="N116" s="470">
        <f t="shared" si="40"/>
        <v>2520</v>
      </c>
    </row>
    <row r="117" spans="1:15" s="11" customFormat="1" ht="15" customHeight="1" outlineLevel="1">
      <c r="B117" s="279" t="s">
        <v>34</v>
      </c>
      <c r="C117" s="15"/>
      <c r="D117" s="13"/>
      <c r="E117" s="13"/>
      <c r="F117" s="109">
        <f>F114-F116</f>
        <v>11799</v>
      </c>
      <c r="G117" s="109">
        <f t="shared" ref="G117:N117" si="41">G114-G116</f>
        <v>11352</v>
      </c>
      <c r="H117" s="109">
        <f t="shared" si="41"/>
        <v>12479</v>
      </c>
      <c r="I117" s="109">
        <f t="shared" si="41"/>
        <v>11416.826879275002</v>
      </c>
      <c r="J117" s="109">
        <f t="shared" si="41"/>
        <v>11072.939056943193</v>
      </c>
      <c r="K117" s="109">
        <f t="shared" si="41"/>
        <v>10153.997893699026</v>
      </c>
      <c r="L117" s="109">
        <f t="shared" si="41"/>
        <v>9401.2920300048645</v>
      </c>
      <c r="M117" s="109">
        <f t="shared" si="41"/>
        <v>8621.6605807869564</v>
      </c>
      <c r="N117" s="157">
        <f t="shared" si="41"/>
        <v>7989.4485253614585</v>
      </c>
    </row>
    <row r="118" spans="1:15" s="11" customFormat="1" ht="15" customHeight="1" outlineLevel="1">
      <c r="B118" s="279"/>
      <c r="C118" s="15"/>
      <c r="D118" s="13"/>
      <c r="E118" s="13"/>
      <c r="F118" s="109"/>
      <c r="G118" s="109"/>
      <c r="H118" s="109"/>
      <c r="I118" s="109"/>
      <c r="J118" s="109"/>
      <c r="K118" s="109"/>
      <c r="L118" s="109"/>
      <c r="M118" s="109"/>
      <c r="N118" s="157"/>
    </row>
    <row r="119" spans="1:15" s="11" customFormat="1" ht="15" customHeight="1" outlineLevel="1">
      <c r="B119" s="98" t="s">
        <v>43</v>
      </c>
      <c r="C119" s="13"/>
      <c r="D119" s="13"/>
      <c r="E119" s="13"/>
      <c r="F119" s="573">
        <v>0</v>
      </c>
      <c r="G119" s="573">
        <v>0</v>
      </c>
      <c r="H119" s="573">
        <v>0</v>
      </c>
      <c r="I119" s="88">
        <f t="shared" ref="I119:M120" si="42">I269</f>
        <v>0</v>
      </c>
      <c r="J119" s="88">
        <f t="shared" si="42"/>
        <v>0</v>
      </c>
      <c r="K119" s="88">
        <f t="shared" si="42"/>
        <v>1065.1220114751661</v>
      </c>
      <c r="L119" s="88">
        <f t="shared" si="42"/>
        <v>2548.1518046264591</v>
      </c>
      <c r="M119" s="88">
        <f t="shared" si="42"/>
        <v>2412.7371155173364</v>
      </c>
      <c r="N119" s="110">
        <f>C101*N117</f>
        <v>2396.8345576084375</v>
      </c>
    </row>
    <row r="120" spans="1:15" s="11" customFormat="1" ht="15" customHeight="1" outlineLevel="1">
      <c r="B120" s="98" t="s">
        <v>44</v>
      </c>
      <c r="C120" s="13"/>
      <c r="D120" s="13"/>
      <c r="E120" s="13"/>
      <c r="F120" s="574">
        <v>3155</v>
      </c>
      <c r="G120" s="574">
        <v>2861</v>
      </c>
      <c r="H120" s="574">
        <v>3012</v>
      </c>
      <c r="I120" s="465">
        <f t="shared" si="42"/>
        <v>3425.0480637825008</v>
      </c>
      <c r="J120" s="465">
        <f t="shared" si="42"/>
        <v>3321.8817170829575</v>
      </c>
      <c r="K120" s="465">
        <f t="shared" si="42"/>
        <v>1981.0773566345417</v>
      </c>
      <c r="L120" s="465">
        <f t="shared" si="42"/>
        <v>272.23580437500004</v>
      </c>
      <c r="M120" s="465">
        <f t="shared" si="42"/>
        <v>173.76105871875052</v>
      </c>
      <c r="N120" s="576">
        <v>0</v>
      </c>
    </row>
    <row r="121" spans="1:15" s="11" customFormat="1" ht="15" customHeight="1" outlineLevel="1">
      <c r="B121" s="98" t="s">
        <v>45</v>
      </c>
      <c r="C121" s="13"/>
      <c r="D121" s="13"/>
      <c r="E121" s="13"/>
      <c r="F121" s="158">
        <f>SUM(F119:F120)</f>
        <v>3155</v>
      </c>
      <c r="G121" s="158">
        <f t="shared" ref="G121:N121" si="43">SUM(G119:G120)</f>
        <v>2861</v>
      </c>
      <c r="H121" s="158">
        <f t="shared" si="43"/>
        <v>3012</v>
      </c>
      <c r="I121" s="158">
        <f>SUM(I119:I120)</f>
        <v>3425.0480637825008</v>
      </c>
      <c r="J121" s="158">
        <f t="shared" si="43"/>
        <v>3321.8817170829575</v>
      </c>
      <c r="K121" s="158">
        <f t="shared" si="43"/>
        <v>3046.1993681097078</v>
      </c>
      <c r="L121" s="158">
        <f t="shared" si="43"/>
        <v>2820.3876090014592</v>
      </c>
      <c r="M121" s="158">
        <f t="shared" si="43"/>
        <v>2586.4981742360869</v>
      </c>
      <c r="N121" s="159">
        <f t="shared" si="43"/>
        <v>2396.8345576084375</v>
      </c>
    </row>
    <row r="122" spans="1:15" s="11" customFormat="1" ht="15" customHeight="1" outlineLevel="1">
      <c r="B122" s="98"/>
      <c r="C122" s="13"/>
      <c r="D122" s="13"/>
      <c r="E122" s="13"/>
      <c r="F122" s="577"/>
      <c r="G122" s="577"/>
      <c r="H122" s="577"/>
      <c r="I122" s="111"/>
      <c r="J122" s="111"/>
      <c r="K122" s="111"/>
      <c r="L122" s="111"/>
      <c r="M122" s="88"/>
      <c r="N122" s="110"/>
    </row>
    <row r="123" spans="1:15" s="11" customFormat="1" ht="15" customHeight="1" outlineLevel="1" thickBot="1">
      <c r="B123" s="279" t="s">
        <v>46</v>
      </c>
      <c r="C123" s="15"/>
      <c r="D123" s="13"/>
      <c r="E123" s="13"/>
      <c r="F123" s="409">
        <f>F117-F121</f>
        <v>8644</v>
      </c>
      <c r="G123" s="409">
        <f t="shared" ref="G123:N123" si="44">G117-G121</f>
        <v>8491</v>
      </c>
      <c r="H123" s="409">
        <f t="shared" si="44"/>
        <v>9467</v>
      </c>
      <c r="I123" s="409">
        <f>I117-I121</f>
        <v>7991.778815492502</v>
      </c>
      <c r="J123" s="409">
        <f t="shared" si="44"/>
        <v>7751.0573398602355</v>
      </c>
      <c r="K123" s="409">
        <f>K117-K121</f>
        <v>7107.7985255893182</v>
      </c>
      <c r="L123" s="409">
        <f>L117-L121</f>
        <v>6580.9044210034053</v>
      </c>
      <c r="M123" s="409">
        <f t="shared" si="44"/>
        <v>6035.1624065508695</v>
      </c>
      <c r="N123" s="410">
        <f t="shared" si="44"/>
        <v>5592.6139677530209</v>
      </c>
    </row>
    <row r="124" spans="1:15" s="11" customFormat="1" ht="15" customHeight="1" outlineLevel="1">
      <c r="B124" s="15"/>
      <c r="C124" s="15"/>
      <c r="D124" s="13"/>
      <c r="E124" s="13"/>
      <c r="F124" s="16"/>
      <c r="G124" s="16"/>
      <c r="H124" s="16"/>
      <c r="I124" s="16"/>
      <c r="J124" s="16"/>
      <c r="K124" s="16"/>
      <c r="L124" s="16"/>
      <c r="M124" s="16"/>
      <c r="N124" s="21"/>
    </row>
    <row r="125" spans="1:15" s="11" customFormat="1" ht="15" customHeight="1" outlineLevel="1">
      <c r="B125" s="40"/>
      <c r="C125" s="40"/>
      <c r="D125" s="25"/>
      <c r="E125" s="25"/>
      <c r="F125" s="41"/>
      <c r="G125" s="41"/>
      <c r="H125" s="41"/>
      <c r="I125" s="41"/>
      <c r="J125" s="41"/>
      <c r="K125" s="41"/>
      <c r="L125" s="41"/>
      <c r="M125" s="41"/>
      <c r="N125" s="41"/>
    </row>
    <row r="126" spans="1:15" s="11" customFormat="1" ht="15" customHeight="1">
      <c r="B126" s="12"/>
      <c r="C126" s="19"/>
      <c r="D126" s="20"/>
      <c r="E126" s="13"/>
      <c r="F126" s="18"/>
      <c r="G126" s="18"/>
      <c r="H126" s="18"/>
      <c r="I126" s="18"/>
      <c r="J126" s="18"/>
      <c r="K126" s="18"/>
      <c r="L126" s="18"/>
      <c r="M126" s="18"/>
      <c r="N126" s="18"/>
      <c r="O126" s="39"/>
    </row>
    <row r="127" spans="1:15" s="5" customFormat="1" ht="15" customHeight="1">
      <c r="A127" s="5" t="s">
        <v>151</v>
      </c>
      <c r="B127" s="505" t="s">
        <v>144</v>
      </c>
      <c r="C127" s="489"/>
      <c r="D127" s="578"/>
      <c r="E127" s="578"/>
      <c r="F127" s="491"/>
      <c r="G127" s="491"/>
      <c r="H127" s="491"/>
      <c r="I127" s="579"/>
      <c r="J127" s="580"/>
      <c r="K127" s="580"/>
      <c r="L127" s="580"/>
      <c r="M127" s="580"/>
      <c r="N127" s="566"/>
      <c r="O127" s="39"/>
    </row>
    <row r="128" spans="1:15" s="5" customFormat="1" ht="15" customHeight="1" outlineLevel="1">
      <c r="B128" s="506"/>
      <c r="C128" s="6"/>
      <c r="D128" s="7"/>
      <c r="E128" s="7"/>
      <c r="F128" s="8"/>
      <c r="G128" s="8"/>
      <c r="H128" s="8"/>
      <c r="I128" s="8"/>
      <c r="J128" s="8"/>
      <c r="K128" s="8"/>
      <c r="L128" s="8"/>
      <c r="M128" s="8"/>
      <c r="O128" s="42"/>
    </row>
    <row r="129" spans="1:15" s="5" customFormat="1" ht="15" customHeight="1" outlineLevel="1" thickBot="1">
      <c r="B129" s="9" t="s">
        <v>22</v>
      </c>
      <c r="C129" s="6"/>
      <c r="D129" s="10"/>
      <c r="E129" s="10"/>
      <c r="F129" s="97">
        <f>F$5</f>
        <v>2020</v>
      </c>
      <c r="G129" s="97">
        <f t="shared" ref="G129:M129" si="45">G$5</f>
        <v>2021</v>
      </c>
      <c r="H129" s="97">
        <f t="shared" si="45"/>
        <v>2022</v>
      </c>
      <c r="I129" s="87">
        <f t="shared" si="45"/>
        <v>2023</v>
      </c>
      <c r="J129" s="87">
        <f t="shared" si="45"/>
        <v>2024</v>
      </c>
      <c r="K129" s="87">
        <f t="shared" si="45"/>
        <v>2025</v>
      </c>
      <c r="L129" s="87">
        <f t="shared" si="45"/>
        <v>2026</v>
      </c>
      <c r="M129" s="87">
        <f t="shared" si="45"/>
        <v>2027</v>
      </c>
      <c r="N129" s="272" t="s">
        <v>85</v>
      </c>
    </row>
    <row r="130" spans="1:15" ht="15" customHeight="1" outlineLevel="1">
      <c r="A130" s="11"/>
      <c r="B130" s="9" t="str">
        <f>$B$6</f>
        <v>Model Running: Worst Case Drivers</v>
      </c>
      <c r="C130" s="6"/>
      <c r="D130" s="10"/>
      <c r="E130" s="10"/>
      <c r="F130" s="10"/>
      <c r="G130" s="10"/>
      <c r="H130" s="10"/>
      <c r="I130" s="37"/>
      <c r="J130" s="37"/>
      <c r="K130" s="37"/>
      <c r="L130" s="37"/>
      <c r="M130" s="37"/>
      <c r="N130" s="37"/>
    </row>
    <row r="131" spans="1:15" s="5" customFormat="1" ht="15" customHeight="1" outlineLevel="1">
      <c r="B131" s="9"/>
      <c r="C131" s="6"/>
      <c r="D131" s="10"/>
      <c r="E131" s="10"/>
      <c r="F131" s="10"/>
      <c r="G131" s="10"/>
      <c r="H131" s="10"/>
      <c r="O131" s="42"/>
    </row>
    <row r="132" spans="1:15" s="11" customFormat="1" ht="15" customHeight="1" outlineLevel="1">
      <c r="B132" s="98" t="s">
        <v>3</v>
      </c>
      <c r="C132" s="19"/>
      <c r="D132" s="20"/>
      <c r="E132" s="13"/>
      <c r="F132" s="154">
        <f>F$8</f>
        <v>365</v>
      </c>
      <c r="G132" s="127">
        <f t="shared" ref="G132:N132" si="46">G$8</f>
        <v>365</v>
      </c>
      <c r="H132" s="127">
        <f t="shared" si="46"/>
        <v>365</v>
      </c>
      <c r="I132" s="127">
        <f t="shared" si="46"/>
        <v>365</v>
      </c>
      <c r="J132" s="127">
        <f t="shared" si="46"/>
        <v>365</v>
      </c>
      <c r="K132" s="127">
        <f t="shared" si="46"/>
        <v>365</v>
      </c>
      <c r="L132" s="127">
        <f t="shared" si="46"/>
        <v>365</v>
      </c>
      <c r="M132" s="127">
        <f t="shared" si="46"/>
        <v>365</v>
      </c>
      <c r="N132" s="173">
        <f t="shared" si="46"/>
        <v>365</v>
      </c>
      <c r="O132" s="39"/>
    </row>
    <row r="133" spans="1:15" s="11" customFormat="1" ht="15" customHeight="1" outlineLevel="1">
      <c r="B133" s="98" t="s">
        <v>2</v>
      </c>
      <c r="C133" s="13"/>
      <c r="D133" s="13"/>
      <c r="E133" s="13"/>
      <c r="F133" s="183">
        <f>F103</f>
        <v>51585</v>
      </c>
      <c r="G133" s="27">
        <f t="shared" ref="G133:N133" si="47">G103</f>
        <v>53494</v>
      </c>
      <c r="H133" s="27">
        <f t="shared" si="47"/>
        <v>55749</v>
      </c>
      <c r="I133" s="27">
        <f t="shared" si="47"/>
        <v>56870.04403795</v>
      </c>
      <c r="J133" s="27">
        <f t="shared" si="47"/>
        <v>58013.131923112793</v>
      </c>
      <c r="K133" s="27">
        <f t="shared" si="47"/>
        <v>58594.713570641987</v>
      </c>
      <c r="L133" s="27">
        <f t="shared" si="47"/>
        <v>59182.125574187667</v>
      </c>
      <c r="M133" s="27">
        <f>M103</f>
        <v>59775.42638306888</v>
      </c>
      <c r="N133" s="174">
        <f t="shared" si="47"/>
        <v>60374.675032559127</v>
      </c>
      <c r="O133" s="39"/>
    </row>
    <row r="134" spans="1:15" s="11" customFormat="1" ht="15" customHeight="1" outlineLevel="1">
      <c r="B134" s="98" t="s">
        <v>132</v>
      </c>
      <c r="C134" s="13"/>
      <c r="D134" s="13"/>
      <c r="E134" s="13"/>
      <c r="F134" s="184">
        <f>F104</f>
        <v>27697</v>
      </c>
      <c r="G134" s="28">
        <f t="shared" ref="G134:N134" si="48">G104</f>
        <v>28429</v>
      </c>
      <c r="H134" s="28">
        <f t="shared" si="48"/>
        <v>29200</v>
      </c>
      <c r="I134" s="28">
        <f t="shared" si="48"/>
        <v>30288.892158675</v>
      </c>
      <c r="J134" s="28">
        <f t="shared" si="48"/>
        <v>31267.189366169601</v>
      </c>
      <c r="K134" s="28">
        <f t="shared" si="48"/>
        <v>32241.423321942963</v>
      </c>
      <c r="L134" s="28">
        <f t="shared" si="48"/>
        <v>33084.768255307805</v>
      </c>
      <c r="M134" s="28">
        <f>M104</f>
        <v>33950.32075618505</v>
      </c>
      <c r="N134" s="175">
        <f t="shared" si="48"/>
        <v>34498.780410409345</v>
      </c>
      <c r="O134" s="39"/>
    </row>
    <row r="135" spans="1:15" s="11" customFormat="1" ht="15" customHeight="1" outlineLevel="1">
      <c r="C135" s="15"/>
      <c r="D135" s="13"/>
      <c r="E135" s="13"/>
      <c r="F135" s="13"/>
      <c r="G135" s="13"/>
      <c r="H135" s="13"/>
      <c r="I135" s="17"/>
      <c r="J135" s="17"/>
      <c r="K135" s="17"/>
      <c r="L135" s="17"/>
      <c r="M135" s="17"/>
      <c r="N135" s="17"/>
      <c r="O135" s="42"/>
    </row>
    <row r="136" spans="1:15" s="11" customFormat="1" ht="15" customHeight="1" outlineLevel="1">
      <c r="C136" s="15"/>
      <c r="D136" s="13"/>
      <c r="E136" s="13"/>
      <c r="F136" s="13"/>
      <c r="G136" s="13"/>
      <c r="H136" s="13"/>
      <c r="I136" s="17"/>
      <c r="J136" s="17"/>
      <c r="K136" s="17"/>
      <c r="L136" s="17"/>
      <c r="M136" s="17"/>
      <c r="N136" s="17"/>
      <c r="O136" s="42"/>
    </row>
    <row r="137" spans="1:15" s="11" customFormat="1" ht="15" customHeight="1" outlineLevel="1">
      <c r="B137" s="14" t="s">
        <v>259</v>
      </c>
      <c r="C137" s="15"/>
      <c r="D137" s="13"/>
      <c r="E137" s="13"/>
      <c r="F137" s="13"/>
      <c r="G137" s="13"/>
      <c r="H137" s="13"/>
      <c r="I137" s="17"/>
      <c r="J137" s="17"/>
      <c r="K137" s="17"/>
      <c r="L137" s="17"/>
      <c r="M137" s="17"/>
      <c r="N137" s="17"/>
      <c r="O137" s="42"/>
    </row>
    <row r="138" spans="1:15" s="11" customFormat="1" ht="15" customHeight="1" outlineLevel="1">
      <c r="B138" s="280" t="s">
        <v>4</v>
      </c>
      <c r="C138" s="13"/>
      <c r="D138" s="20" t="s">
        <v>5</v>
      </c>
      <c r="E138" s="20"/>
      <c r="F138" s="38">
        <f>(F144/F133)*F$132</f>
        <v>40.388097315110983</v>
      </c>
      <c r="G138" s="38">
        <f>(G144/G133)*G$132</f>
        <v>43.211294724642016</v>
      </c>
      <c r="H138" s="38">
        <f t="shared" ref="H138:H139" si="49">(H144/H133)*H$132</f>
        <v>43.368670290050048</v>
      </c>
      <c r="I138" s="38">
        <f>Inputs!G35</f>
        <v>45</v>
      </c>
      <c r="J138" s="38">
        <f>Inputs!H35</f>
        <v>45</v>
      </c>
      <c r="K138" s="38">
        <f>Inputs!I35</f>
        <v>45</v>
      </c>
      <c r="L138" s="38">
        <f>Inputs!J35</f>
        <v>45</v>
      </c>
      <c r="M138" s="460">
        <f>Inputs!K35</f>
        <v>45</v>
      </c>
      <c r="N138" s="250">
        <f>Inputs!L35</f>
        <v>45</v>
      </c>
    </row>
    <row r="139" spans="1:15" s="11" customFormat="1" ht="15" customHeight="1" outlineLevel="1">
      <c r="B139" s="280" t="s">
        <v>6</v>
      </c>
      <c r="C139" s="13"/>
      <c r="D139" s="20" t="s">
        <v>5</v>
      </c>
      <c r="E139" s="20"/>
      <c r="F139" s="38">
        <f>(F145/F134)*F$132</f>
        <v>23.615554031122503</v>
      </c>
      <c r="G139" s="38">
        <f>(G145/G134)*G$132</f>
        <v>24.689401667311547</v>
      </c>
      <c r="H139" s="38">
        <f t="shared" si="49"/>
        <v>25.112500000000001</v>
      </c>
      <c r="I139" s="38">
        <f>Inputs!G36</f>
        <v>25</v>
      </c>
      <c r="J139" s="38">
        <f>Inputs!H36</f>
        <v>25</v>
      </c>
      <c r="K139" s="38">
        <f>Inputs!I36</f>
        <v>25</v>
      </c>
      <c r="L139" s="38">
        <f>Inputs!J36</f>
        <v>25</v>
      </c>
      <c r="M139" s="461">
        <f>Inputs!K36</f>
        <v>25</v>
      </c>
      <c r="N139" s="462">
        <f>Inputs!L36</f>
        <v>25</v>
      </c>
    </row>
    <row r="140" spans="1:15" s="11" customFormat="1" ht="15" customHeight="1" outlineLevel="1">
      <c r="B140" s="280" t="s">
        <v>7</v>
      </c>
      <c r="C140" s="13"/>
      <c r="D140" s="20" t="s">
        <v>5</v>
      </c>
      <c r="E140" s="20"/>
      <c r="F140" s="38">
        <f>(F146/F134)*F$132</f>
        <v>39.851247427519226</v>
      </c>
      <c r="G140" s="38">
        <f>(G146/G134)*G$132</f>
        <v>41.149002778852577</v>
      </c>
      <c r="H140" s="38">
        <f>(H146/H134)*H$132</f>
        <v>41.487499999999997</v>
      </c>
      <c r="I140" s="38">
        <f>Inputs!G37</f>
        <v>40</v>
      </c>
      <c r="J140" s="38">
        <f>Inputs!H37</f>
        <v>40</v>
      </c>
      <c r="K140" s="38">
        <f>Inputs!I37</f>
        <v>40</v>
      </c>
      <c r="L140" s="38">
        <f>Inputs!J37</f>
        <v>40</v>
      </c>
      <c r="M140" s="463">
        <f>Inputs!K37</f>
        <v>40</v>
      </c>
      <c r="N140" s="176">
        <f>Inputs!L37</f>
        <v>40</v>
      </c>
    </row>
    <row r="141" spans="1:15" s="11" customFormat="1" ht="15" customHeight="1" outlineLevel="1">
      <c r="C141" s="13"/>
      <c r="D141" s="24"/>
      <c r="E141" s="24"/>
      <c r="F141" s="35"/>
      <c r="G141" s="23"/>
      <c r="H141" s="23"/>
      <c r="I141" s="581"/>
      <c r="J141" s="581"/>
      <c r="K141" s="581"/>
      <c r="L141" s="581"/>
      <c r="M141" s="581"/>
      <c r="N141" s="581"/>
    </row>
    <row r="142" spans="1:15" s="11" customFormat="1" ht="15" customHeight="1" outlineLevel="1">
      <c r="C142" s="13"/>
      <c r="D142" s="24"/>
      <c r="E142" s="24"/>
      <c r="F142" s="35"/>
      <c r="G142" s="23"/>
      <c r="H142" s="23"/>
      <c r="I142" s="581"/>
      <c r="J142" s="581"/>
      <c r="K142" s="581"/>
      <c r="L142" s="581"/>
      <c r="M142" s="581"/>
      <c r="N142" s="581"/>
    </row>
    <row r="143" spans="1:15" s="11" customFormat="1" ht="15" customHeight="1" outlineLevel="1">
      <c r="B143" s="14" t="s">
        <v>131</v>
      </c>
      <c r="C143" s="15"/>
      <c r="D143" s="13"/>
      <c r="E143" s="13"/>
      <c r="F143" s="13"/>
      <c r="G143" s="13"/>
      <c r="H143" s="13"/>
      <c r="I143" s="17"/>
      <c r="J143" s="17"/>
      <c r="K143" s="17"/>
      <c r="L143" s="17"/>
      <c r="M143" s="17"/>
      <c r="N143" s="17"/>
      <c r="O143" s="42"/>
    </row>
    <row r="144" spans="1:15" s="11" customFormat="1" ht="15" customHeight="1" outlineLevel="1">
      <c r="B144" s="280" t="s">
        <v>4</v>
      </c>
      <c r="C144" s="13"/>
      <c r="D144" s="13"/>
      <c r="E144" s="13"/>
      <c r="F144" s="565">
        <v>5708</v>
      </c>
      <c r="G144" s="565">
        <v>6333</v>
      </c>
      <c r="H144" s="565">
        <v>6624</v>
      </c>
      <c r="I144" s="27">
        <f>(I138/I$132)*I133</f>
        <v>7011.3752923499997</v>
      </c>
      <c r="J144" s="27">
        <f>(J138/J$132)*J133</f>
        <v>7152.3039357262342</v>
      </c>
      <c r="K144" s="27">
        <f>(K138/K$132)*K133</f>
        <v>7224.0057826818884</v>
      </c>
      <c r="L144" s="27">
        <f t="shared" ref="J144:L145" si="50">(L138/L$132)*L133</f>
        <v>7296.4264406532739</v>
      </c>
      <c r="M144" s="154">
        <f>(M138/M$132)*M133</f>
        <v>7369.5731157208202</v>
      </c>
      <c r="N144" s="173">
        <f>(N138/N$132)*N133</f>
        <v>7443.4530862059191</v>
      </c>
      <c r="O144" s="42"/>
    </row>
    <row r="145" spans="2:15" s="11" customFormat="1" ht="15" customHeight="1" outlineLevel="1">
      <c r="B145" s="280" t="s">
        <v>6</v>
      </c>
      <c r="C145" s="13"/>
      <c r="D145" s="13"/>
      <c r="E145" s="13"/>
      <c r="F145" s="565">
        <v>1792</v>
      </c>
      <c r="G145" s="565">
        <v>1923</v>
      </c>
      <c r="H145" s="565">
        <v>2009</v>
      </c>
      <c r="I145" s="27">
        <f>(I139/I$132)*I134</f>
        <v>2074.5816547037671</v>
      </c>
      <c r="J145" s="27">
        <f t="shared" si="50"/>
        <v>2141.5883127513425</v>
      </c>
      <c r="K145" s="27">
        <f t="shared" si="50"/>
        <v>2208.3166658865043</v>
      </c>
      <c r="L145" s="27">
        <f t="shared" si="50"/>
        <v>2266.0800174868359</v>
      </c>
      <c r="M145" s="183">
        <f>(M139/M$132)*M134</f>
        <v>2325.3644353551404</v>
      </c>
      <c r="N145" s="174">
        <f>(N139/N$132)*N134</f>
        <v>2362.9301650965303</v>
      </c>
      <c r="O145" s="42"/>
    </row>
    <row r="146" spans="2:15" s="11" customFormat="1" ht="15" customHeight="1" outlineLevel="1">
      <c r="B146" s="280" t="s">
        <v>7</v>
      </c>
      <c r="C146" s="13"/>
      <c r="D146" s="13"/>
      <c r="E146" s="13"/>
      <c r="F146" s="565">
        <v>3024</v>
      </c>
      <c r="G146" s="565">
        <v>3205</v>
      </c>
      <c r="H146" s="565">
        <v>3319</v>
      </c>
      <c r="I146" s="27">
        <f>(I140/I$132)*I134</f>
        <v>3319.3306475260274</v>
      </c>
      <c r="J146" s="27">
        <f t="shared" ref="J146:L146" si="51">(J140/J$132)*J134</f>
        <v>3426.541300402148</v>
      </c>
      <c r="K146" s="27">
        <f t="shared" si="51"/>
        <v>3533.3066654184067</v>
      </c>
      <c r="L146" s="27">
        <f t="shared" si="51"/>
        <v>3625.7280279789375</v>
      </c>
      <c r="M146" s="184">
        <f>(M140/M$132)*M134</f>
        <v>3720.5830965682244</v>
      </c>
      <c r="N146" s="175">
        <f>(N140/N$132)*N134</f>
        <v>3780.6882641544485</v>
      </c>
      <c r="O146" s="42"/>
    </row>
    <row r="147" spans="2:15" s="11" customFormat="1" ht="15" customHeight="1" outlineLevel="1">
      <c r="C147" s="15"/>
      <c r="D147" s="13"/>
      <c r="E147" s="13"/>
      <c r="F147" s="13"/>
      <c r="G147" s="13"/>
      <c r="H147" s="13"/>
      <c r="I147" s="17"/>
      <c r="J147" s="17"/>
      <c r="K147" s="17"/>
      <c r="L147" s="17"/>
      <c r="M147" s="17"/>
      <c r="N147" s="17"/>
      <c r="O147" s="42"/>
    </row>
    <row r="148" spans="2:15" s="11" customFormat="1" ht="15" customHeight="1" outlineLevel="1">
      <c r="C148" s="15"/>
      <c r="D148" s="13"/>
      <c r="E148" s="13"/>
      <c r="F148" s="13"/>
      <c r="G148" s="13"/>
      <c r="H148" s="13"/>
      <c r="I148" s="17"/>
      <c r="J148" s="17"/>
      <c r="K148" s="17"/>
      <c r="L148" s="17"/>
      <c r="M148" s="17"/>
      <c r="N148" s="17"/>
      <c r="O148" s="42"/>
    </row>
    <row r="149" spans="2:15" s="11" customFormat="1" ht="15" customHeight="1" outlineLevel="1">
      <c r="B149" s="14" t="s">
        <v>142</v>
      </c>
      <c r="C149" s="15"/>
      <c r="D149" s="13"/>
      <c r="E149" s="13"/>
      <c r="F149" s="13"/>
      <c r="G149" s="13"/>
      <c r="H149" s="13"/>
      <c r="I149" s="17"/>
      <c r="J149" s="17"/>
      <c r="K149" s="17"/>
      <c r="L149" s="17"/>
      <c r="M149" s="17"/>
      <c r="N149" s="17"/>
      <c r="O149" s="42"/>
    </row>
    <row r="150" spans="2:15" s="11" customFormat="1" ht="15" customHeight="1" outlineLevel="1">
      <c r="B150" s="280" t="s">
        <v>139</v>
      </c>
      <c r="C150" s="13"/>
      <c r="D150" s="13"/>
      <c r="E150" s="13"/>
      <c r="F150" s="27">
        <f>SUM(F144:F145)</f>
        <v>7500</v>
      </c>
      <c r="G150" s="27">
        <f t="shared" ref="G150:N150" si="52">SUM(G144:G145)</f>
        <v>8256</v>
      </c>
      <c r="H150" s="27">
        <f t="shared" si="52"/>
        <v>8633</v>
      </c>
      <c r="I150" s="27">
        <f>SUM(I144:I145)</f>
        <v>9085.9569470537663</v>
      </c>
      <c r="J150" s="27">
        <f t="shared" si="52"/>
        <v>9293.8922484775758</v>
      </c>
      <c r="K150" s="27">
        <f>SUM(K144:K145)</f>
        <v>9432.3224485683932</v>
      </c>
      <c r="L150" s="27">
        <f t="shared" si="52"/>
        <v>9562.5064581401093</v>
      </c>
      <c r="M150" s="154">
        <f>SUM(M144:M145)</f>
        <v>9694.9375510759601</v>
      </c>
      <c r="N150" s="173">
        <f t="shared" si="52"/>
        <v>9806.3832513024499</v>
      </c>
      <c r="O150" s="42"/>
    </row>
    <row r="151" spans="2:15" s="11" customFormat="1" ht="15" customHeight="1" outlineLevel="1">
      <c r="B151" s="280" t="s">
        <v>140</v>
      </c>
      <c r="C151" s="13"/>
      <c r="D151" s="13"/>
      <c r="E151" s="13"/>
      <c r="F151" s="28">
        <f>SUM(F146)</f>
        <v>3024</v>
      </c>
      <c r="G151" s="28">
        <f t="shared" ref="G151:N151" si="53">SUM(G146)</f>
        <v>3205</v>
      </c>
      <c r="H151" s="28">
        <f t="shared" si="53"/>
        <v>3319</v>
      </c>
      <c r="I151" s="28">
        <f>SUM(I146)</f>
        <v>3319.3306475260274</v>
      </c>
      <c r="J151" s="28">
        <f t="shared" si="53"/>
        <v>3426.541300402148</v>
      </c>
      <c r="K151" s="28">
        <f>SUM(K146)</f>
        <v>3533.3066654184067</v>
      </c>
      <c r="L151" s="28">
        <f t="shared" si="53"/>
        <v>3625.7280279789375</v>
      </c>
      <c r="M151" s="184">
        <f>SUM(M146)</f>
        <v>3720.5830965682244</v>
      </c>
      <c r="N151" s="175">
        <f t="shared" si="53"/>
        <v>3780.6882641544485</v>
      </c>
      <c r="O151" s="42"/>
    </row>
    <row r="152" spans="2:15" s="11" customFormat="1" ht="15" customHeight="1" outlineLevel="1">
      <c r="B152" s="280" t="s">
        <v>8</v>
      </c>
      <c r="C152" s="13"/>
      <c r="D152" s="13"/>
      <c r="E152" s="13"/>
      <c r="F152" s="27">
        <f>F150-F151</f>
        <v>4476</v>
      </c>
      <c r="G152" s="27">
        <f t="shared" ref="G152:N152" si="54">G150-G151</f>
        <v>5051</v>
      </c>
      <c r="H152" s="27">
        <f t="shared" si="54"/>
        <v>5314</v>
      </c>
      <c r="I152" s="27">
        <f>I150-I151</f>
        <v>5766.6262995277393</v>
      </c>
      <c r="J152" s="27">
        <f t="shared" si="54"/>
        <v>5867.3509480754274</v>
      </c>
      <c r="K152" s="27">
        <f>K150-K151</f>
        <v>5899.0157831499864</v>
      </c>
      <c r="L152" s="27">
        <f t="shared" si="54"/>
        <v>5936.7784301611719</v>
      </c>
      <c r="M152" s="184">
        <f>M150-M151</f>
        <v>5974.3544545077357</v>
      </c>
      <c r="N152" s="175">
        <f t="shared" si="54"/>
        <v>6025.694987148001</v>
      </c>
      <c r="O152" s="42"/>
    </row>
    <row r="153" spans="2:15" s="11" customFormat="1" ht="15" customHeight="1" outlineLevel="1">
      <c r="B153" s="50"/>
      <c r="C153" s="15"/>
      <c r="D153" s="13"/>
      <c r="E153" s="13"/>
      <c r="F153" s="13"/>
      <c r="G153" s="13"/>
      <c r="H153" s="13"/>
      <c r="I153" s="17"/>
      <c r="J153" s="17"/>
      <c r="K153" s="17"/>
      <c r="L153" s="17"/>
      <c r="M153" s="17"/>
      <c r="N153" s="17"/>
      <c r="O153" s="42"/>
    </row>
    <row r="154" spans="2:15" s="11" customFormat="1" ht="15" customHeight="1" outlineLevel="1">
      <c r="B154" s="50"/>
      <c r="C154" s="15"/>
      <c r="D154" s="13"/>
      <c r="E154" s="13"/>
      <c r="F154" s="13"/>
      <c r="G154" s="13"/>
      <c r="H154" s="13"/>
      <c r="I154" s="17"/>
      <c r="J154" s="17"/>
      <c r="K154" s="17"/>
      <c r="L154" s="17"/>
      <c r="M154" s="17"/>
      <c r="N154" s="17"/>
      <c r="O154" s="42"/>
    </row>
    <row r="155" spans="2:15" s="11" customFormat="1" ht="15" customHeight="1" outlineLevel="1" thickBot="1">
      <c r="B155" s="281" t="s">
        <v>141</v>
      </c>
      <c r="C155" s="15"/>
      <c r="D155" s="15"/>
      <c r="E155" s="15"/>
      <c r="F155" s="15"/>
      <c r="G155" s="411">
        <f>F152-G152</f>
        <v>-575</v>
      </c>
      <c r="H155" s="411">
        <f t="shared" ref="H155:N155" si="55">G152-H152</f>
        <v>-263</v>
      </c>
      <c r="I155" s="411">
        <f t="shared" si="55"/>
        <v>-452.62629952773932</v>
      </c>
      <c r="J155" s="411">
        <f t="shared" si="55"/>
        <v>-100.72464854768805</v>
      </c>
      <c r="K155" s="411">
        <f>J152-K152</f>
        <v>-31.664835074559051</v>
      </c>
      <c r="L155" s="411">
        <f t="shared" si="55"/>
        <v>-37.762647011185436</v>
      </c>
      <c r="M155" s="411">
        <f>L152-M152</f>
        <v>-37.576024346563827</v>
      </c>
      <c r="N155" s="412">
        <f t="shared" si="55"/>
        <v>-51.340532640265337</v>
      </c>
      <c r="O155" s="42"/>
    </row>
    <row r="156" spans="2:15" s="11" customFormat="1" ht="15" customHeight="1" outlineLevel="1">
      <c r="C156" s="15"/>
      <c r="D156" s="15"/>
      <c r="E156" s="15"/>
      <c r="F156" s="15"/>
      <c r="G156" s="254"/>
      <c r="H156" s="254"/>
      <c r="I156" s="254"/>
      <c r="J156" s="254"/>
      <c r="K156" s="254"/>
      <c r="L156" s="254"/>
      <c r="M156" s="254"/>
      <c r="N156" s="254"/>
      <c r="O156" s="42"/>
    </row>
    <row r="157" spans="2:15" s="11" customFormat="1" ht="15" customHeight="1" outlineLevel="1">
      <c r="C157" s="15"/>
      <c r="D157" s="15"/>
      <c r="E157" s="15"/>
      <c r="F157" s="15"/>
      <c r="G157" s="254"/>
      <c r="H157" s="254"/>
      <c r="I157" s="254"/>
      <c r="J157" s="254"/>
      <c r="K157" s="254"/>
      <c r="L157" s="254"/>
      <c r="M157" s="254"/>
      <c r="N157" s="254"/>
      <c r="O157" s="42"/>
    </row>
    <row r="158" spans="2:15" s="5" customFormat="1" ht="15" customHeight="1" outlineLevel="1">
      <c r="C158" s="6"/>
      <c r="D158" s="10"/>
      <c r="E158" s="10"/>
      <c r="F158" s="10"/>
      <c r="G158" s="10"/>
      <c r="H158" s="10"/>
      <c r="I158" s="37"/>
      <c r="J158" s="37"/>
      <c r="K158" s="37"/>
      <c r="N158" s="255" t="s">
        <v>210</v>
      </c>
      <c r="O158" s="39"/>
    </row>
    <row r="159" spans="2:15" s="11" customFormat="1" ht="15" customHeight="1" outlineLevel="1">
      <c r="B159" s="13"/>
      <c r="C159" s="13"/>
      <c r="D159" s="17"/>
      <c r="E159" s="17"/>
      <c r="F159" s="17"/>
      <c r="G159" s="17"/>
      <c r="H159" s="17"/>
      <c r="I159" s="17"/>
      <c r="J159" s="17"/>
      <c r="K159" s="17"/>
      <c r="L159" s="17"/>
      <c r="M159" s="13"/>
      <c r="O159" s="42"/>
    </row>
    <row r="160" spans="2:15" s="11" customFormat="1" ht="15" customHeight="1" outlineLevel="1"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42"/>
    </row>
    <row r="161" spans="1:15" s="11" customFormat="1" ht="15" customHeight="1">
      <c r="B161" s="12"/>
      <c r="C161" s="19"/>
      <c r="D161" s="20"/>
      <c r="E161" s="13"/>
      <c r="F161" s="18"/>
      <c r="G161" s="18"/>
      <c r="H161" s="18"/>
      <c r="I161" s="18"/>
      <c r="J161" s="18"/>
      <c r="K161" s="18"/>
      <c r="L161" s="18"/>
      <c r="M161" s="18"/>
      <c r="N161" s="18"/>
      <c r="O161" s="39"/>
    </row>
    <row r="162" spans="1:15" s="5" customFormat="1" ht="15" customHeight="1">
      <c r="A162" s="5" t="s">
        <v>151</v>
      </c>
      <c r="B162" s="582" t="s">
        <v>150</v>
      </c>
      <c r="C162" s="489"/>
      <c r="D162" s="578"/>
      <c r="E162" s="578"/>
      <c r="F162" s="491"/>
      <c r="G162" s="491"/>
      <c r="H162" s="491"/>
      <c r="I162" s="579"/>
      <c r="J162" s="580"/>
      <c r="K162" s="580"/>
      <c r="L162" s="580"/>
      <c r="M162" s="580"/>
      <c r="N162" s="566"/>
    </row>
    <row r="163" spans="1:15" s="5" customFormat="1" ht="15" customHeight="1" outlineLevel="1">
      <c r="B163" s="506"/>
      <c r="C163" s="6"/>
      <c r="D163" s="7"/>
      <c r="E163" s="7"/>
      <c r="F163" s="8"/>
      <c r="G163" s="8"/>
      <c r="H163" s="8"/>
      <c r="I163" s="8"/>
      <c r="J163" s="8"/>
      <c r="K163" s="8"/>
      <c r="L163" s="8"/>
      <c r="M163" s="8"/>
    </row>
    <row r="164" spans="1:15" s="5" customFormat="1" ht="15" customHeight="1" outlineLevel="1" thickBot="1">
      <c r="B164" s="9" t="s">
        <v>22</v>
      </c>
      <c r="C164" s="6"/>
      <c r="D164" s="10"/>
      <c r="E164" s="10"/>
      <c r="F164" s="97">
        <f>F$5</f>
        <v>2020</v>
      </c>
      <c r="G164" s="97">
        <f t="shared" ref="G164:M164" si="56">G$5</f>
        <v>2021</v>
      </c>
      <c r="H164" s="97">
        <f t="shared" si="56"/>
        <v>2022</v>
      </c>
      <c r="I164" s="87">
        <f t="shared" si="56"/>
        <v>2023</v>
      </c>
      <c r="J164" s="87">
        <f t="shared" si="56"/>
        <v>2024</v>
      </c>
      <c r="K164" s="87">
        <f t="shared" si="56"/>
        <v>2025</v>
      </c>
      <c r="L164" s="87">
        <f t="shared" si="56"/>
        <v>2026</v>
      </c>
      <c r="M164" s="87">
        <f t="shared" si="56"/>
        <v>2027</v>
      </c>
    </row>
    <row r="165" spans="1:15" ht="15" customHeight="1" outlineLevel="1">
      <c r="A165" s="11"/>
      <c r="B165" s="9" t="str">
        <f>$B$6</f>
        <v>Model Running: Worst Case Drivers</v>
      </c>
      <c r="C165" s="6"/>
      <c r="D165" s="10"/>
      <c r="E165" s="10"/>
      <c r="F165" s="10"/>
      <c r="G165" s="10"/>
      <c r="H165" s="10"/>
      <c r="I165" s="37"/>
      <c r="J165" s="37"/>
      <c r="K165" s="37"/>
      <c r="L165" s="37"/>
      <c r="M165" s="37"/>
      <c r="N165" s="37"/>
    </row>
    <row r="166" spans="1:15" s="5" customFormat="1" ht="15" customHeight="1" outlineLevel="1">
      <c r="B166" s="9"/>
      <c r="C166" s="6"/>
      <c r="D166" s="10"/>
      <c r="E166" s="10"/>
      <c r="F166" s="10"/>
      <c r="G166" s="10"/>
      <c r="H166" s="113"/>
      <c r="I166" s="113"/>
      <c r="J166" s="113"/>
      <c r="K166" s="113"/>
      <c r="L166" s="113"/>
      <c r="M166" s="113"/>
    </row>
    <row r="167" spans="1:15" s="5" customFormat="1" ht="15" customHeight="1" outlineLevel="1">
      <c r="B167" s="266" t="s">
        <v>194</v>
      </c>
      <c r="C167" s="6"/>
      <c r="D167" s="10"/>
      <c r="E167" s="10"/>
      <c r="F167" s="562">
        <v>4982</v>
      </c>
      <c r="G167" s="563">
        <v>5199</v>
      </c>
      <c r="H167" s="563">
        <v>4400</v>
      </c>
      <c r="I167" s="455">
        <f>Inputs!G24</f>
        <v>5000</v>
      </c>
      <c r="J167" s="455">
        <f>Inputs!H24</f>
        <v>5200</v>
      </c>
      <c r="K167" s="455">
        <f>Inputs!I24</f>
        <v>5400</v>
      </c>
      <c r="L167" s="455">
        <f>Inputs!J24</f>
        <v>5500</v>
      </c>
      <c r="M167" s="458">
        <f>Inputs!K24</f>
        <v>5600</v>
      </c>
    </row>
    <row r="168" spans="1:15" s="5" customFormat="1" ht="15" customHeight="1" outlineLevel="1">
      <c r="B168" s="193"/>
      <c r="C168" s="6"/>
      <c r="D168" s="10"/>
      <c r="E168" s="10"/>
      <c r="F168" s="565"/>
      <c r="G168" s="565"/>
      <c r="H168" s="565"/>
      <c r="I168" s="27"/>
      <c r="J168" s="27"/>
      <c r="K168" s="27"/>
      <c r="L168" s="27"/>
      <c r="M168" s="27"/>
    </row>
    <row r="169" spans="1:15" s="5" customFormat="1" ht="15" customHeight="1" outlineLevel="1">
      <c r="B169" s="9"/>
      <c r="C169" s="6"/>
      <c r="D169" s="10"/>
      <c r="E169" s="10"/>
      <c r="F169" s="10"/>
      <c r="G169" s="10"/>
      <c r="H169" s="10"/>
      <c r="I169" s="37"/>
      <c r="J169" s="37"/>
      <c r="K169" s="37"/>
      <c r="L169" s="37"/>
      <c r="M169" s="37"/>
    </row>
    <row r="170" spans="1:15" s="5" customFormat="1" ht="15" customHeight="1" outlineLevel="1">
      <c r="B170" s="148" t="s">
        <v>260</v>
      </c>
      <c r="D170" s="53" t="s">
        <v>71</v>
      </c>
      <c r="E170" s="10"/>
      <c r="F170" s="10"/>
      <c r="G170" s="10"/>
      <c r="H170" s="10"/>
      <c r="I170" s="51" t="s">
        <v>74</v>
      </c>
      <c r="J170" s="52"/>
      <c r="K170" s="52"/>
      <c r="L170" s="52"/>
      <c r="M170" s="213"/>
    </row>
    <row r="171" spans="1:15" s="5" customFormat="1" ht="15" customHeight="1" outlineLevel="1">
      <c r="B171" s="45" t="s">
        <v>75</v>
      </c>
      <c r="C171" s="214"/>
      <c r="D171" s="205">
        <f>Inputs!$L$109</f>
        <v>16</v>
      </c>
      <c r="E171" s="10"/>
      <c r="F171" s="54"/>
      <c r="G171" s="10"/>
      <c r="H171" s="10"/>
      <c r="I171" s="403">
        <v>1</v>
      </c>
      <c r="J171" s="403">
        <f>I171+1</f>
        <v>2</v>
      </c>
      <c r="K171" s="403">
        <f>J171+1</f>
        <v>3</v>
      </c>
      <c r="L171" s="403">
        <f>K171+1</f>
        <v>4</v>
      </c>
      <c r="M171" s="403">
        <f>L171+1</f>
        <v>5</v>
      </c>
    </row>
    <row r="172" spans="1:15" s="5" customFormat="1" ht="15" customHeight="1" outlineLevel="1">
      <c r="B172" s="58" t="str">
        <f>CONCATENATE("PP&amp;E at End of ",H164)</f>
        <v>PP&amp;E at End of 2022</v>
      </c>
      <c r="C172" s="215"/>
      <c r="D172" s="182">
        <f>Inputs!$L$95</f>
        <v>65014</v>
      </c>
      <c r="E172" s="10"/>
      <c r="F172" s="54"/>
      <c r="G172" s="10"/>
      <c r="H172" s="583"/>
      <c r="I172" s="160">
        <f>MIN($D171-SUM($H172:H172),1)</f>
        <v>1</v>
      </c>
      <c r="J172" s="160">
        <f>MIN($D171-SUM($H172:I172),1)</f>
        <v>1</v>
      </c>
      <c r="K172" s="160">
        <f>MIN($D171-SUM($H172:J172),1)</f>
        <v>1</v>
      </c>
      <c r="L172" s="160">
        <f>MIN($D171-SUM($H172:K172),1)</f>
        <v>1</v>
      </c>
      <c r="M172" s="161">
        <f>MIN($D171-SUM($H172:L172),1)</f>
        <v>1</v>
      </c>
      <c r="O172" s="315"/>
    </row>
    <row r="173" spans="1:15" s="5" customFormat="1" ht="15" customHeight="1" outlineLevel="1">
      <c r="B173" s="44"/>
      <c r="C173" s="584"/>
      <c r="D173" s="79"/>
      <c r="E173" s="10"/>
      <c r="F173" s="10"/>
      <c r="G173" s="10"/>
      <c r="H173" s="10"/>
      <c r="I173" s="55"/>
      <c r="J173" s="55"/>
      <c r="K173" s="55"/>
      <c r="L173" s="55"/>
      <c r="M173" s="55"/>
    </row>
    <row r="174" spans="1:15" s="5" customFormat="1" ht="15" customHeight="1" outlineLevel="1">
      <c r="B174" s="29"/>
      <c r="C174" s="30"/>
      <c r="D174" s="31"/>
      <c r="E174" s="31"/>
      <c r="F174" s="31"/>
      <c r="G174" s="31"/>
      <c r="H174" s="31"/>
      <c r="I174" s="43"/>
      <c r="J174" s="43"/>
      <c r="K174" s="43"/>
      <c r="L174" s="43"/>
      <c r="M174" s="43"/>
    </row>
    <row r="175" spans="1:15" s="5" customFormat="1" ht="15" customHeight="1" outlineLevel="1">
      <c r="B175" s="9"/>
      <c r="C175" s="6"/>
      <c r="D175" s="10"/>
      <c r="E175" s="10"/>
      <c r="F175" s="10"/>
      <c r="G175" s="10"/>
      <c r="H175" s="10"/>
      <c r="I175" s="37"/>
      <c r="J175" s="37"/>
      <c r="K175" s="37"/>
      <c r="L175" s="37"/>
      <c r="M175" s="37"/>
    </row>
    <row r="176" spans="1:15" s="5" customFormat="1" ht="15" customHeight="1" outlineLevel="1">
      <c r="B176" s="148" t="s">
        <v>261</v>
      </c>
      <c r="D176" s="53" t="s">
        <v>71</v>
      </c>
      <c r="E176" s="10"/>
      <c r="F176" s="10"/>
      <c r="G176" s="10"/>
      <c r="H176" s="10"/>
      <c r="I176" s="51" t="s">
        <v>74</v>
      </c>
      <c r="J176" s="52"/>
      <c r="K176" s="52"/>
      <c r="L176" s="52"/>
      <c r="M176" s="213"/>
    </row>
    <row r="177" spans="2:15" s="5" customFormat="1" ht="15" customHeight="1" outlineLevel="1">
      <c r="B177" s="45" t="s">
        <v>76</v>
      </c>
      <c r="C177" s="214"/>
      <c r="D177" s="206">
        <f>Inputs!$L$110</f>
        <v>20</v>
      </c>
      <c r="E177" s="10"/>
      <c r="F177" s="10"/>
      <c r="G177" s="10"/>
      <c r="H177" s="10"/>
      <c r="I177" s="404">
        <v>1</v>
      </c>
      <c r="J177" s="404">
        <f>I177+1</f>
        <v>2</v>
      </c>
      <c r="K177" s="404">
        <f>J177+1</f>
        <v>3</v>
      </c>
      <c r="L177" s="404">
        <f>K177+1</f>
        <v>4</v>
      </c>
      <c r="M177" s="404">
        <f>L177+1</f>
        <v>5</v>
      </c>
    </row>
    <row r="178" spans="2:15" s="5" customFormat="1" ht="15" customHeight="1" outlineLevel="1">
      <c r="B178" s="58" t="s">
        <v>72</v>
      </c>
      <c r="C178" s="215"/>
      <c r="D178" s="207">
        <f>Inputs!$L$108</f>
        <v>0.5</v>
      </c>
      <c r="E178" s="10"/>
      <c r="F178" s="10"/>
      <c r="G178" s="10"/>
      <c r="H178" s="10"/>
      <c r="I178" s="162">
        <f>IF(H178="",$D$178,MIN($D177-SUM($H178:H178),1))</f>
        <v>0.5</v>
      </c>
      <c r="J178" s="163">
        <f>IF(I178="",$D$178,MIN($D177-SUM($H178:I178),1))</f>
        <v>1</v>
      </c>
      <c r="K178" s="163">
        <f>IF(J178="",$D$178,MIN($D177-SUM($H178:J178),1))</f>
        <v>1</v>
      </c>
      <c r="L178" s="163">
        <f>IF(K178="",$D$178,MIN($D177-SUM($H178:K178),1))</f>
        <v>1</v>
      </c>
      <c r="M178" s="164">
        <f>IF(L178="",$D$178,MIN($D177-SUM($H178:L178),1))</f>
        <v>1</v>
      </c>
    </row>
    <row r="179" spans="2:15" s="5" customFormat="1" ht="15" customHeight="1" outlineLevel="1">
      <c r="B179" s="44"/>
      <c r="D179" s="585"/>
      <c r="E179" s="10"/>
      <c r="F179" s="10"/>
      <c r="G179" s="10"/>
      <c r="H179" s="10"/>
      <c r="I179" s="55"/>
      <c r="J179" s="55"/>
      <c r="K179" s="55"/>
      <c r="L179" s="55"/>
      <c r="M179" s="55"/>
    </row>
    <row r="180" spans="2:15" s="5" customFormat="1" ht="15" customHeight="1" outlineLevel="1">
      <c r="B180" s="9"/>
      <c r="C180" s="6"/>
      <c r="D180" s="10"/>
      <c r="E180" s="10"/>
      <c r="F180" s="10"/>
      <c r="G180" s="10"/>
      <c r="H180" s="10"/>
      <c r="I180" s="51" t="s">
        <v>74</v>
      </c>
      <c r="J180" s="52"/>
      <c r="K180" s="52"/>
      <c r="L180" s="52"/>
      <c r="M180" s="213"/>
      <c r="O180" s="56"/>
    </row>
    <row r="181" spans="2:15" s="5" customFormat="1" ht="15" customHeight="1" outlineLevel="1">
      <c r="D181" s="50"/>
      <c r="F181" s="50" t="s">
        <v>65</v>
      </c>
      <c r="G181" s="50" t="s">
        <v>67</v>
      </c>
      <c r="H181" s="10"/>
      <c r="I181" s="165">
        <f>I$164</f>
        <v>2023</v>
      </c>
      <c r="J181" s="165">
        <f>J$164</f>
        <v>2024</v>
      </c>
      <c r="K181" s="165">
        <f>K$164</f>
        <v>2025</v>
      </c>
      <c r="L181" s="165">
        <f>L$164</f>
        <v>2026</v>
      </c>
      <c r="M181" s="165">
        <f>M$164</f>
        <v>2027</v>
      </c>
    </row>
    <row r="182" spans="2:15" s="5" customFormat="1" ht="15" customHeight="1" outlineLevel="1">
      <c r="B182" s="9"/>
      <c r="D182" s="50"/>
      <c r="F182" s="62">
        <f>I164</f>
        <v>2023</v>
      </c>
      <c r="G182" s="63">
        <f>$D$177</f>
        <v>20</v>
      </c>
      <c r="H182" s="64"/>
      <c r="I182" s="343">
        <f>I178</f>
        <v>0.5</v>
      </c>
      <c r="J182" s="343">
        <f>J178</f>
        <v>1</v>
      </c>
      <c r="K182" s="343">
        <f>K178</f>
        <v>1</v>
      </c>
      <c r="L182" s="343">
        <f>L178</f>
        <v>1</v>
      </c>
      <c r="M182" s="344">
        <f>M178</f>
        <v>1</v>
      </c>
    </row>
    <row r="183" spans="2:15" s="5" customFormat="1" ht="15" customHeight="1" outlineLevel="1">
      <c r="B183" s="9"/>
      <c r="D183" s="50"/>
      <c r="F183" s="65">
        <f>F182+1</f>
        <v>2024</v>
      </c>
      <c r="G183" s="59">
        <f t="shared" ref="G183:G186" si="57">$D$177</f>
        <v>20</v>
      </c>
      <c r="H183" s="66"/>
      <c r="I183" s="60">
        <f t="shared" ref="I183:M186" si="58">H182</f>
        <v>0</v>
      </c>
      <c r="J183" s="60">
        <f t="shared" si="58"/>
        <v>0.5</v>
      </c>
      <c r="K183" s="60">
        <f t="shared" si="58"/>
        <v>1</v>
      </c>
      <c r="L183" s="60">
        <f t="shared" si="58"/>
        <v>1</v>
      </c>
      <c r="M183" s="345">
        <f t="shared" si="58"/>
        <v>1</v>
      </c>
    </row>
    <row r="184" spans="2:15" s="5" customFormat="1" ht="15" customHeight="1" outlineLevel="1">
      <c r="B184" s="9"/>
      <c r="D184" s="50"/>
      <c r="F184" s="65">
        <f>F183+1</f>
        <v>2025</v>
      </c>
      <c r="G184" s="59">
        <f t="shared" si="57"/>
        <v>20</v>
      </c>
      <c r="H184" s="66"/>
      <c r="I184" s="60">
        <f t="shared" si="58"/>
        <v>0</v>
      </c>
      <c r="J184" s="60">
        <f t="shared" si="58"/>
        <v>0</v>
      </c>
      <c r="K184" s="60">
        <f t="shared" si="58"/>
        <v>0.5</v>
      </c>
      <c r="L184" s="60">
        <f t="shared" si="58"/>
        <v>1</v>
      </c>
      <c r="M184" s="345">
        <f t="shared" si="58"/>
        <v>1</v>
      </c>
    </row>
    <row r="185" spans="2:15" s="5" customFormat="1" ht="15" customHeight="1" outlineLevel="1">
      <c r="B185" s="9"/>
      <c r="D185" s="50"/>
      <c r="F185" s="65">
        <f>F184+1</f>
        <v>2026</v>
      </c>
      <c r="G185" s="59">
        <f t="shared" si="57"/>
        <v>20</v>
      </c>
      <c r="H185" s="66"/>
      <c r="I185" s="60">
        <f t="shared" si="58"/>
        <v>0</v>
      </c>
      <c r="J185" s="60">
        <f t="shared" si="58"/>
        <v>0</v>
      </c>
      <c r="K185" s="60">
        <f t="shared" si="58"/>
        <v>0</v>
      </c>
      <c r="L185" s="60">
        <f t="shared" si="58"/>
        <v>0.5</v>
      </c>
      <c r="M185" s="345">
        <f t="shared" si="58"/>
        <v>1</v>
      </c>
    </row>
    <row r="186" spans="2:15" s="5" customFormat="1" ht="15" customHeight="1" outlineLevel="1">
      <c r="B186" s="9"/>
      <c r="D186" s="50"/>
      <c r="F186" s="67">
        <f>F185+1</f>
        <v>2027</v>
      </c>
      <c r="G186" s="68">
        <f t="shared" si="57"/>
        <v>20</v>
      </c>
      <c r="H186" s="69"/>
      <c r="I186" s="61">
        <f t="shared" si="58"/>
        <v>0</v>
      </c>
      <c r="J186" s="61">
        <f t="shared" si="58"/>
        <v>0</v>
      </c>
      <c r="K186" s="61">
        <f t="shared" si="58"/>
        <v>0</v>
      </c>
      <c r="L186" s="61">
        <f t="shared" si="58"/>
        <v>0</v>
      </c>
      <c r="M186" s="346">
        <f t="shared" si="58"/>
        <v>0.5</v>
      </c>
    </row>
    <row r="187" spans="2:15" s="5" customFormat="1" ht="15" customHeight="1" outlineLevel="1">
      <c r="B187" s="9"/>
      <c r="C187" s="6"/>
      <c r="D187" s="50"/>
      <c r="E187" s="10"/>
      <c r="F187" s="10"/>
      <c r="G187" s="10"/>
      <c r="H187" s="10"/>
      <c r="I187" s="37"/>
      <c r="J187" s="37"/>
      <c r="K187" s="37"/>
      <c r="L187" s="37"/>
      <c r="M187" s="37"/>
      <c r="O187" s="42"/>
    </row>
    <row r="188" spans="2:15" s="5" customFormat="1" ht="15" customHeight="1" outlineLevel="1">
      <c r="B188" s="9"/>
      <c r="C188" s="6"/>
      <c r="D188" s="10"/>
      <c r="E188" s="10"/>
      <c r="F188" s="10"/>
      <c r="G188" s="10"/>
      <c r="H188" s="10"/>
      <c r="I188" s="51" t="s">
        <v>68</v>
      </c>
      <c r="J188" s="52"/>
      <c r="K188" s="52"/>
      <c r="L188" s="52"/>
      <c r="M188" s="213"/>
      <c r="O188" s="42"/>
    </row>
    <row r="189" spans="2:15" s="5" customFormat="1" ht="15" customHeight="1" outlineLevel="1">
      <c r="E189" s="10"/>
      <c r="F189" s="50" t="s">
        <v>65</v>
      </c>
      <c r="G189" s="50" t="s">
        <v>66</v>
      </c>
      <c r="H189" s="50" t="s">
        <v>70</v>
      </c>
      <c r="I189" s="165">
        <f>I$164</f>
        <v>2023</v>
      </c>
      <c r="J189" s="165">
        <f>J$164</f>
        <v>2024</v>
      </c>
      <c r="K189" s="165">
        <f>K$164</f>
        <v>2025</v>
      </c>
      <c r="L189" s="165">
        <f>L$164</f>
        <v>2026</v>
      </c>
      <c r="M189" s="165">
        <f>M$164</f>
        <v>2027</v>
      </c>
      <c r="O189" s="42"/>
    </row>
    <row r="190" spans="2:15" s="5" customFormat="1" ht="15" customHeight="1" outlineLevel="1">
      <c r="B190" s="9"/>
      <c r="E190" s="10"/>
      <c r="F190" s="62">
        <f>F182</f>
        <v>2023</v>
      </c>
      <c r="G190" s="166">
        <f>SUMIF($I$164:$M$164,F190,$I$167:$M$167)</f>
        <v>5000</v>
      </c>
      <c r="H190" s="167">
        <f>G190/G182</f>
        <v>250</v>
      </c>
      <c r="I190" s="347">
        <f>$H190*I182</f>
        <v>125</v>
      </c>
      <c r="J190" s="347">
        <f t="shared" ref="I190:M194" si="59">$H190*J182</f>
        <v>250</v>
      </c>
      <c r="K190" s="347">
        <f t="shared" si="59"/>
        <v>250</v>
      </c>
      <c r="L190" s="347">
        <f t="shared" si="59"/>
        <v>250</v>
      </c>
      <c r="M190" s="348">
        <f t="shared" si="59"/>
        <v>250</v>
      </c>
    </row>
    <row r="191" spans="2:15" s="5" customFormat="1" ht="15" customHeight="1" outlineLevel="1">
      <c r="B191" s="9"/>
      <c r="E191" s="10"/>
      <c r="F191" s="65">
        <f>F183</f>
        <v>2024</v>
      </c>
      <c r="G191" s="168">
        <f>SUMIF($I$164:$M$164,F191,$I$167:$M$167)</f>
        <v>5200</v>
      </c>
      <c r="H191" s="169">
        <f>G191/G183</f>
        <v>260</v>
      </c>
      <c r="I191" s="158">
        <f t="shared" si="59"/>
        <v>0</v>
      </c>
      <c r="J191" s="158">
        <f t="shared" si="59"/>
        <v>130</v>
      </c>
      <c r="K191" s="158">
        <f t="shared" si="59"/>
        <v>260</v>
      </c>
      <c r="L191" s="158">
        <f t="shared" si="59"/>
        <v>260</v>
      </c>
      <c r="M191" s="349">
        <f t="shared" si="59"/>
        <v>260</v>
      </c>
    </row>
    <row r="192" spans="2:15" s="5" customFormat="1" ht="15" customHeight="1" outlineLevel="1">
      <c r="B192" s="9"/>
      <c r="E192" s="10"/>
      <c r="F192" s="65">
        <f>F184</f>
        <v>2025</v>
      </c>
      <c r="G192" s="168">
        <f>SUMIF($I$164:$M$164,F192,$I$167:$M$167)</f>
        <v>5400</v>
      </c>
      <c r="H192" s="169">
        <f>G192/G184</f>
        <v>270</v>
      </c>
      <c r="I192" s="158">
        <f t="shared" si="59"/>
        <v>0</v>
      </c>
      <c r="J192" s="158">
        <f t="shared" si="59"/>
        <v>0</v>
      </c>
      <c r="K192" s="158">
        <f t="shared" si="59"/>
        <v>135</v>
      </c>
      <c r="L192" s="158">
        <f t="shared" si="59"/>
        <v>270</v>
      </c>
      <c r="M192" s="349">
        <f t="shared" si="59"/>
        <v>270</v>
      </c>
    </row>
    <row r="193" spans="1:15" s="5" customFormat="1" ht="15" customHeight="1" outlineLevel="1">
      <c r="B193" s="9"/>
      <c r="E193" s="10"/>
      <c r="F193" s="65">
        <f>F185</f>
        <v>2026</v>
      </c>
      <c r="G193" s="168">
        <f>SUMIF($I$164:$M$164,F193,$I$167:$M$167)</f>
        <v>5500</v>
      </c>
      <c r="H193" s="169">
        <f>G193/G185</f>
        <v>275</v>
      </c>
      <c r="I193" s="158">
        <f t="shared" si="59"/>
        <v>0</v>
      </c>
      <c r="J193" s="158">
        <f t="shared" si="59"/>
        <v>0</v>
      </c>
      <c r="K193" s="158">
        <f t="shared" si="59"/>
        <v>0</v>
      </c>
      <c r="L193" s="158">
        <f t="shared" si="59"/>
        <v>137.5</v>
      </c>
      <c r="M193" s="349">
        <f t="shared" si="59"/>
        <v>275</v>
      </c>
    </row>
    <row r="194" spans="1:15" s="5" customFormat="1" ht="15" customHeight="1" outlineLevel="1">
      <c r="B194" s="9"/>
      <c r="E194" s="10"/>
      <c r="F194" s="67">
        <f>F186</f>
        <v>2027</v>
      </c>
      <c r="G194" s="170">
        <f>SUMIF($I$164:$M$164,F194,$I$167:$M$167)</f>
        <v>5600</v>
      </c>
      <c r="H194" s="171">
        <f>G194/G186</f>
        <v>280</v>
      </c>
      <c r="I194" s="181">
        <f t="shared" si="59"/>
        <v>0</v>
      </c>
      <c r="J194" s="181">
        <f t="shared" si="59"/>
        <v>0</v>
      </c>
      <c r="K194" s="181">
        <f t="shared" si="59"/>
        <v>0</v>
      </c>
      <c r="L194" s="181">
        <f t="shared" si="59"/>
        <v>0</v>
      </c>
      <c r="M194" s="350">
        <f>$H194*M186</f>
        <v>140</v>
      </c>
    </row>
    <row r="195" spans="1:15" s="5" customFormat="1" ht="15" customHeight="1" outlineLevel="1">
      <c r="B195" s="29"/>
      <c r="C195" s="30"/>
      <c r="D195" s="31"/>
      <c r="E195" s="31"/>
      <c r="F195" s="31"/>
      <c r="G195" s="31"/>
      <c r="H195" s="31"/>
      <c r="I195" s="43"/>
      <c r="J195" s="43"/>
      <c r="K195" s="43"/>
      <c r="L195" s="43"/>
      <c r="M195" s="43"/>
      <c r="O195" s="42"/>
    </row>
    <row r="196" spans="1:15" s="5" customFormat="1" ht="15" customHeight="1" outlineLevel="1">
      <c r="B196" s="9"/>
      <c r="C196" s="6"/>
      <c r="D196" s="10"/>
      <c r="E196" s="10"/>
      <c r="F196" s="10"/>
      <c r="G196" s="10"/>
      <c r="H196" s="10"/>
      <c r="I196" s="37"/>
      <c r="J196" s="37"/>
      <c r="K196" s="37"/>
      <c r="L196" s="37"/>
      <c r="M196" s="37"/>
      <c r="O196" s="42"/>
    </row>
    <row r="197" spans="1:15" s="5" customFormat="1" ht="15" customHeight="1" outlineLevel="1">
      <c r="B197" s="148" t="s">
        <v>262</v>
      </c>
      <c r="C197" s="6"/>
      <c r="D197" s="10"/>
      <c r="E197" s="10"/>
      <c r="F197" s="10"/>
      <c r="G197" s="10"/>
      <c r="H197" s="10"/>
      <c r="I197" s="37"/>
      <c r="J197" s="37"/>
      <c r="K197" s="37"/>
      <c r="L197" s="37"/>
      <c r="M197" s="37"/>
      <c r="O197" s="42"/>
    </row>
    <row r="198" spans="1:15" s="5" customFormat="1" ht="15" customHeight="1" outlineLevel="1">
      <c r="B198" s="280" t="s">
        <v>63</v>
      </c>
      <c r="C198" s="6"/>
      <c r="D198" s="10"/>
      <c r="E198" s="10"/>
      <c r="F198" s="18"/>
      <c r="G198" s="18"/>
      <c r="H198" s="18"/>
      <c r="I198" s="27">
        <f>($D$172/$D$171)*I172</f>
        <v>4063.375</v>
      </c>
      <c r="J198" s="27">
        <f>($D$172/$D$171)*J172</f>
        <v>4063.375</v>
      </c>
      <c r="K198" s="27">
        <f>($D$172/$D$171)*K172</f>
        <v>4063.375</v>
      </c>
      <c r="L198" s="27">
        <f>($D$172/$D$171)*L172</f>
        <v>4063.375</v>
      </c>
      <c r="M198" s="27">
        <f>($D$172/$D$171)*M172</f>
        <v>4063.375</v>
      </c>
      <c r="O198" s="39"/>
    </row>
    <row r="199" spans="1:15" s="5" customFormat="1" ht="15" customHeight="1" outlineLevel="1">
      <c r="B199" s="280" t="s">
        <v>64</v>
      </c>
      <c r="C199" s="6"/>
      <c r="D199" s="10"/>
      <c r="E199" s="10"/>
      <c r="F199" s="10"/>
      <c r="G199" s="10"/>
      <c r="H199" s="10"/>
      <c r="I199" s="27">
        <f>SUM(I190:I194)</f>
        <v>125</v>
      </c>
      <c r="J199" s="27">
        <f>SUM(J190:J194)</f>
        <v>380</v>
      </c>
      <c r="K199" s="27">
        <f>SUM(K190:K194)</f>
        <v>645</v>
      </c>
      <c r="L199" s="27">
        <f>SUM(L190:L194)</f>
        <v>917.5</v>
      </c>
      <c r="M199" s="27">
        <f>SUM(M190:M194)</f>
        <v>1195</v>
      </c>
      <c r="O199" s="39"/>
    </row>
    <row r="200" spans="1:15" s="5" customFormat="1" ht="15" customHeight="1" outlineLevel="1" thickBot="1">
      <c r="B200" s="280" t="s">
        <v>69</v>
      </c>
      <c r="C200" s="6"/>
      <c r="D200" s="10"/>
      <c r="E200" s="10"/>
      <c r="F200" s="10"/>
      <c r="G200" s="10"/>
      <c r="H200" s="10"/>
      <c r="I200" s="407">
        <f>SUM(I198:I199)</f>
        <v>4188.375</v>
      </c>
      <c r="J200" s="407">
        <f>SUM(J198:J199)</f>
        <v>4443.375</v>
      </c>
      <c r="K200" s="407">
        <f>SUM(K198:K199)</f>
        <v>4708.375</v>
      </c>
      <c r="L200" s="407">
        <f>SUM(L198:L199)</f>
        <v>4980.875</v>
      </c>
      <c r="M200" s="407">
        <f>SUM(M198:M199)</f>
        <v>5258.375</v>
      </c>
      <c r="O200" s="42"/>
    </row>
    <row r="201" spans="1:15" s="5" customFormat="1" ht="15" customHeight="1" outlineLevel="1">
      <c r="B201" s="9"/>
      <c r="C201" s="6"/>
      <c r="D201" s="10"/>
      <c r="E201" s="10"/>
      <c r="F201" s="10"/>
      <c r="G201" s="10"/>
      <c r="H201" s="10"/>
      <c r="I201" s="18"/>
      <c r="J201" s="18"/>
      <c r="K201" s="18"/>
      <c r="L201" s="18"/>
      <c r="M201" s="18"/>
      <c r="O201" s="42"/>
    </row>
    <row r="202" spans="1:15" s="5" customFormat="1" ht="15" customHeight="1" outlineLevel="1">
      <c r="B202" s="9"/>
      <c r="C202" s="6"/>
      <c r="D202" s="10"/>
      <c r="E202" s="10"/>
      <c r="F202" s="10"/>
      <c r="G202" s="10"/>
      <c r="H202" s="10"/>
      <c r="I202" s="18"/>
      <c r="J202" s="18"/>
      <c r="K202" s="18"/>
      <c r="L202" s="18"/>
      <c r="M202" s="18"/>
      <c r="O202" s="42"/>
    </row>
    <row r="203" spans="1:15" s="5" customFormat="1" ht="15" customHeight="1" outlineLevel="1">
      <c r="C203" s="6"/>
      <c r="D203" s="10"/>
      <c r="E203" s="10"/>
      <c r="F203" s="10"/>
      <c r="G203" s="10"/>
      <c r="H203" s="10"/>
      <c r="I203" s="37"/>
      <c r="J203" s="37"/>
      <c r="K203" s="37"/>
      <c r="L203" s="37"/>
      <c r="M203" s="255" t="s">
        <v>190</v>
      </c>
      <c r="O203" s="39"/>
    </row>
    <row r="204" spans="1:15" s="5" customFormat="1" ht="15" customHeight="1" outlineLevel="1">
      <c r="C204" s="6"/>
      <c r="D204" s="10"/>
      <c r="E204" s="10"/>
      <c r="F204" s="10"/>
      <c r="G204" s="10"/>
      <c r="H204" s="10"/>
      <c r="I204" s="37"/>
      <c r="J204" s="37"/>
      <c r="K204" s="37"/>
      <c r="L204" s="37"/>
      <c r="M204" s="256" t="s">
        <v>215</v>
      </c>
      <c r="O204" s="39"/>
    </row>
    <row r="205" spans="1:15" s="5" customFormat="1" ht="15" customHeight="1" outlineLevel="1">
      <c r="C205" s="6"/>
      <c r="D205" s="10"/>
      <c r="E205" s="10"/>
      <c r="F205" s="10"/>
      <c r="G205" s="10"/>
      <c r="H205" s="10"/>
      <c r="I205" s="37"/>
      <c r="J205" s="37"/>
      <c r="K205" s="37"/>
      <c r="L205" s="37"/>
      <c r="M205" s="120"/>
      <c r="O205" s="39"/>
    </row>
    <row r="206" spans="1:15" s="5" customFormat="1" ht="15" customHeight="1" outlineLevel="1">
      <c r="B206" s="29"/>
      <c r="C206" s="30"/>
      <c r="D206" s="31"/>
      <c r="E206" s="31"/>
      <c r="F206" s="31"/>
      <c r="G206" s="31"/>
      <c r="H206" s="31"/>
      <c r="I206" s="43"/>
      <c r="J206" s="43"/>
      <c r="K206" s="43"/>
      <c r="L206" s="43"/>
      <c r="M206" s="43"/>
      <c r="N206" s="43"/>
      <c r="O206" s="42"/>
    </row>
    <row r="207" spans="1:15" s="5" customFormat="1" ht="15" customHeight="1">
      <c r="B207" s="9"/>
      <c r="C207" s="6"/>
      <c r="D207" s="10"/>
      <c r="E207" s="10"/>
      <c r="F207" s="10"/>
      <c r="G207" s="10"/>
      <c r="H207" s="10"/>
      <c r="I207" s="37"/>
      <c r="J207" s="37"/>
      <c r="K207" s="37"/>
      <c r="L207" s="37"/>
      <c r="M207" s="37"/>
      <c r="N207" s="37"/>
      <c r="O207" s="42"/>
    </row>
    <row r="208" spans="1:15" s="5" customFormat="1" ht="15" customHeight="1">
      <c r="A208" s="5" t="s">
        <v>151</v>
      </c>
      <c r="B208" s="505" t="s">
        <v>55</v>
      </c>
      <c r="C208" s="489"/>
      <c r="D208" s="578"/>
      <c r="E208" s="578"/>
      <c r="F208" s="491"/>
      <c r="G208" s="491"/>
      <c r="H208" s="491"/>
      <c r="I208" s="579"/>
      <c r="J208" s="580"/>
      <c r="K208" s="580"/>
      <c r="L208" s="580"/>
      <c r="M208" s="580"/>
      <c r="N208" s="566"/>
      <c r="O208" s="42"/>
    </row>
    <row r="209" spans="1:15" s="5" customFormat="1" ht="15" customHeight="1" outlineLevel="1">
      <c r="B209" s="506"/>
      <c r="C209" s="6"/>
      <c r="D209" s="7"/>
      <c r="E209" s="7"/>
      <c r="F209" s="8"/>
      <c r="G209" s="8"/>
      <c r="H209" s="8"/>
      <c r="I209" s="8"/>
      <c r="J209" s="8"/>
      <c r="K209" s="8"/>
      <c r="L209" s="8"/>
      <c r="M209" s="8"/>
      <c r="O209" s="42"/>
    </row>
    <row r="210" spans="1:15" s="5" customFormat="1" ht="15" customHeight="1" outlineLevel="1" thickBot="1">
      <c r="B210" s="9" t="s">
        <v>22</v>
      </c>
      <c r="C210" s="6"/>
      <c r="D210" s="10"/>
      <c r="E210" s="10"/>
      <c r="F210" s="8"/>
      <c r="G210" s="10"/>
      <c r="H210" s="97">
        <f t="shared" ref="H210:M210" si="60">H$5</f>
        <v>2022</v>
      </c>
      <c r="I210" s="87">
        <f t="shared" si="60"/>
        <v>2023</v>
      </c>
      <c r="J210" s="87">
        <f t="shared" si="60"/>
        <v>2024</v>
      </c>
      <c r="K210" s="87">
        <f t="shared" si="60"/>
        <v>2025</v>
      </c>
      <c r="L210" s="87">
        <f t="shared" si="60"/>
        <v>2026</v>
      </c>
      <c r="M210" s="87">
        <f t="shared" si="60"/>
        <v>2027</v>
      </c>
      <c r="N210" s="37"/>
      <c r="O210" s="39"/>
    </row>
    <row r="211" spans="1:15" ht="15" customHeight="1" outlineLevel="1">
      <c r="A211" s="11"/>
      <c r="B211" s="9" t="str">
        <f>$B$6</f>
        <v>Model Running: Worst Case Drivers</v>
      </c>
      <c r="C211" s="6"/>
      <c r="D211" s="10"/>
      <c r="E211" s="10"/>
      <c r="F211" s="10"/>
      <c r="G211" s="10"/>
      <c r="H211" s="10"/>
      <c r="I211" s="37"/>
      <c r="J211" s="37"/>
      <c r="K211" s="37"/>
      <c r="L211" s="37"/>
      <c r="M211" s="37"/>
      <c r="N211" s="37"/>
    </row>
    <row r="212" spans="1:15" s="5" customFormat="1" ht="15" customHeight="1" outlineLevel="1">
      <c r="B212" s="9"/>
      <c r="C212" s="6"/>
      <c r="D212" s="10"/>
      <c r="E212" s="10"/>
      <c r="F212" s="10"/>
      <c r="G212" s="10"/>
      <c r="H212" s="10"/>
      <c r="I212" s="37"/>
      <c r="J212" s="37"/>
      <c r="K212" s="37"/>
      <c r="L212" s="37"/>
      <c r="M212" s="37"/>
      <c r="O212" s="42"/>
    </row>
    <row r="213" spans="1:15" s="5" customFormat="1" ht="15" customHeight="1" outlineLevel="1">
      <c r="B213" s="44" t="s">
        <v>56</v>
      </c>
      <c r="C213" s="6"/>
      <c r="D213" s="10"/>
      <c r="E213" s="10"/>
      <c r="F213" s="10"/>
      <c r="G213" s="27"/>
      <c r="H213" s="27"/>
      <c r="I213" s="267">
        <f t="shared" ref="I213:M213" si="61">I167</f>
        <v>5000</v>
      </c>
      <c r="J213" s="455">
        <f t="shared" si="61"/>
        <v>5200</v>
      </c>
      <c r="K213" s="455">
        <f t="shared" si="61"/>
        <v>5400</v>
      </c>
      <c r="L213" s="455">
        <f t="shared" si="61"/>
        <v>5500</v>
      </c>
      <c r="M213" s="458">
        <f t="shared" si="61"/>
        <v>5600</v>
      </c>
      <c r="N213" s="27"/>
    </row>
    <row r="214" spans="1:15" s="5" customFormat="1" ht="15" customHeight="1" outlineLevel="1">
      <c r="B214" s="9"/>
      <c r="C214" s="6"/>
      <c r="D214" s="10"/>
      <c r="E214" s="10"/>
      <c r="F214" s="10"/>
      <c r="G214" s="10"/>
      <c r="H214" s="10"/>
      <c r="I214" s="37"/>
      <c r="J214" s="37"/>
      <c r="K214" s="37"/>
      <c r="L214" s="37"/>
      <c r="M214" s="37"/>
    </row>
    <row r="215" spans="1:15" s="5" customFormat="1" ht="15" customHeight="1" outlineLevel="1">
      <c r="B215" s="131" t="s">
        <v>73</v>
      </c>
      <c r="C215" s="252"/>
      <c r="D215" s="253">
        <f>Inputs!$L$106</f>
        <v>0.5</v>
      </c>
      <c r="E215" s="10"/>
      <c r="F215" s="10"/>
      <c r="G215" s="10"/>
      <c r="H215" s="10"/>
      <c r="I215" s="37"/>
      <c r="J215" s="37"/>
      <c r="K215" s="37"/>
      <c r="L215" s="37"/>
      <c r="M215" s="37"/>
    </row>
    <row r="216" spans="1:15" s="5" customFormat="1" ht="15" customHeight="1" outlineLevel="1">
      <c r="B216" s="46" t="s">
        <v>59</v>
      </c>
      <c r="C216" s="215"/>
      <c r="D216" s="180">
        <f>Inputs!$L$107</f>
        <v>0.15</v>
      </c>
      <c r="E216" s="10"/>
      <c r="F216" s="10"/>
      <c r="G216" s="10"/>
      <c r="H216" s="10"/>
      <c r="J216" s="37"/>
      <c r="K216" s="37"/>
      <c r="L216" s="37"/>
      <c r="M216" s="37"/>
    </row>
    <row r="217" spans="1:15" s="5" customFormat="1" ht="15" customHeight="1" outlineLevel="1">
      <c r="B217" s="12"/>
      <c r="C217" s="210"/>
      <c r="D217" s="586"/>
      <c r="E217" s="10"/>
      <c r="F217" s="10"/>
      <c r="G217" s="10"/>
      <c r="H217" s="10"/>
      <c r="I217" s="459"/>
      <c r="J217" s="459"/>
      <c r="K217" s="459"/>
      <c r="L217" s="459"/>
      <c r="M217" s="459"/>
    </row>
    <row r="218" spans="1:15" s="5" customFormat="1" ht="15" customHeight="1" outlineLevel="1">
      <c r="B218" s="12"/>
      <c r="C218" s="210"/>
      <c r="D218" s="586"/>
      <c r="E218" s="10"/>
      <c r="F218" s="10"/>
      <c r="G218" s="10"/>
      <c r="H218" s="10"/>
      <c r="I218" s="459"/>
      <c r="J218" s="459"/>
      <c r="K218" s="459"/>
      <c r="L218" s="459"/>
      <c r="M218" s="459"/>
    </row>
    <row r="219" spans="1:15" s="5" customFormat="1" ht="15" customHeight="1" outlineLevel="1">
      <c r="B219" s="148" t="s">
        <v>263</v>
      </c>
      <c r="C219" s="6"/>
      <c r="D219" s="10"/>
      <c r="E219" s="10"/>
      <c r="F219" s="10"/>
      <c r="G219" s="10"/>
      <c r="H219" s="10"/>
      <c r="I219" s="37"/>
      <c r="J219" s="37"/>
      <c r="K219" s="37"/>
      <c r="L219" s="37"/>
      <c r="M219" s="37"/>
    </row>
    <row r="220" spans="1:15" s="5" customFormat="1" ht="15" customHeight="1" outlineLevel="1">
      <c r="B220" s="280" t="s">
        <v>10</v>
      </c>
      <c r="C220" s="6"/>
      <c r="D220" s="10"/>
      <c r="E220" s="10"/>
      <c r="F220" s="10"/>
      <c r="G220" s="18"/>
      <c r="H220" s="27"/>
      <c r="I220" s="27">
        <f>H223</f>
        <v>65014</v>
      </c>
      <c r="J220" s="27">
        <f>I223</f>
        <v>65825.625</v>
      </c>
      <c r="K220" s="27">
        <f>J223</f>
        <v>66582.25</v>
      </c>
      <c r="L220" s="27">
        <f>K223</f>
        <v>67273.875</v>
      </c>
      <c r="M220" s="27">
        <f>L223</f>
        <v>67793</v>
      </c>
      <c r="N220" s="27"/>
    </row>
    <row r="221" spans="1:15" s="5" customFormat="1" ht="15" customHeight="1" outlineLevel="1">
      <c r="B221" s="280" t="s">
        <v>56</v>
      </c>
      <c r="C221" s="6"/>
      <c r="D221" s="10"/>
      <c r="E221" s="10"/>
      <c r="F221" s="10"/>
      <c r="G221" s="18"/>
      <c r="H221" s="179"/>
      <c r="I221" s="27">
        <f>I213</f>
        <v>5000</v>
      </c>
      <c r="J221" s="27">
        <f>J213</f>
        <v>5200</v>
      </c>
      <c r="K221" s="27">
        <f>K213</f>
        <v>5400</v>
      </c>
      <c r="L221" s="27">
        <f>L213</f>
        <v>5500</v>
      </c>
      <c r="M221" s="27">
        <f>M213</f>
        <v>5600</v>
      </c>
      <c r="N221" s="27"/>
    </row>
    <row r="222" spans="1:15" s="5" customFormat="1" ht="15" customHeight="1" outlineLevel="1">
      <c r="B222" s="280" t="s">
        <v>57</v>
      </c>
      <c r="C222" s="6"/>
      <c r="D222" s="10"/>
      <c r="E222" s="10"/>
      <c r="F222" s="10"/>
      <c r="G222" s="18"/>
      <c r="H222" s="28"/>
      <c r="I222" s="28">
        <f>-I200</f>
        <v>-4188.375</v>
      </c>
      <c r="J222" s="28">
        <f>-J200</f>
        <v>-4443.375</v>
      </c>
      <c r="K222" s="28">
        <f>-K200</f>
        <v>-4708.375</v>
      </c>
      <c r="L222" s="28">
        <f>-L200</f>
        <v>-4980.875</v>
      </c>
      <c r="M222" s="28">
        <f>-M200</f>
        <v>-5258.375</v>
      </c>
      <c r="N222" s="27"/>
    </row>
    <row r="223" spans="1:15" s="5" customFormat="1" ht="15" customHeight="1" outlineLevel="1">
      <c r="B223" s="280" t="s">
        <v>11</v>
      </c>
      <c r="C223" s="6"/>
      <c r="D223" s="10"/>
      <c r="E223" s="10"/>
      <c r="F223" s="112"/>
      <c r="G223" s="18"/>
      <c r="H223" s="38">
        <f>$D$172</f>
        <v>65014</v>
      </c>
      <c r="I223" s="27">
        <f>SUM(I220:I222)</f>
        <v>65825.625</v>
      </c>
      <c r="J223" s="27">
        <f>SUM(J220:J222)</f>
        <v>66582.25</v>
      </c>
      <c r="K223" s="27">
        <f>SUM(K220:K222)</f>
        <v>67273.875</v>
      </c>
      <c r="L223" s="27">
        <f>SUM(L220:L222)</f>
        <v>67793</v>
      </c>
      <c r="M223" s="27">
        <f>SUM(M220:M222)</f>
        <v>68134.625</v>
      </c>
      <c r="N223" s="27"/>
    </row>
    <row r="224" spans="1:15" s="5" customFormat="1" ht="15" customHeight="1" outlineLevel="1">
      <c r="B224" s="9"/>
      <c r="C224" s="6"/>
      <c r="D224" s="10"/>
      <c r="E224" s="10"/>
      <c r="F224" s="10"/>
      <c r="G224" s="10"/>
      <c r="H224" s="109"/>
      <c r="I224" s="109"/>
      <c r="J224" s="109"/>
      <c r="K224" s="109"/>
      <c r="L224" s="109"/>
      <c r="M224" s="109"/>
      <c r="N224" s="109"/>
      <c r="O224" s="37"/>
    </row>
    <row r="225" spans="1:15" s="5" customFormat="1" ht="15" customHeight="1" outlineLevel="1">
      <c r="B225" s="9"/>
      <c r="C225" s="6"/>
      <c r="D225" s="10"/>
      <c r="E225" s="10"/>
      <c r="F225" s="10"/>
      <c r="G225" s="10"/>
      <c r="H225" s="109"/>
      <c r="I225" s="109"/>
      <c r="J225" s="109"/>
      <c r="K225" s="109"/>
      <c r="L225" s="109"/>
      <c r="M225" s="109"/>
      <c r="N225" s="109"/>
      <c r="O225" s="37"/>
    </row>
    <row r="226" spans="1:15" s="5" customFormat="1" ht="15" customHeight="1" outlineLevel="1">
      <c r="B226" s="148" t="s">
        <v>264</v>
      </c>
      <c r="C226" s="6"/>
      <c r="D226" s="10"/>
      <c r="E226" s="10"/>
      <c r="F226" s="10"/>
      <c r="G226" s="10"/>
      <c r="H226" s="109"/>
      <c r="I226" s="109"/>
      <c r="J226" s="109"/>
      <c r="K226" s="109"/>
      <c r="L226" s="109"/>
      <c r="M226" s="109"/>
      <c r="N226" s="109"/>
      <c r="O226" s="37"/>
    </row>
    <row r="227" spans="1:15" s="5" customFormat="1" ht="15" customHeight="1" outlineLevel="1">
      <c r="B227" s="280" t="s">
        <v>10</v>
      </c>
      <c r="C227" s="6"/>
      <c r="D227" s="10"/>
      <c r="E227" s="10"/>
      <c r="F227" s="10"/>
      <c r="G227" s="18"/>
      <c r="H227" s="27"/>
      <c r="I227" s="27">
        <f>H230</f>
        <v>39211</v>
      </c>
      <c r="J227" s="27">
        <f>I230</f>
        <v>37954.35</v>
      </c>
      <c r="K227" s="27">
        <f>J230</f>
        <v>37071.197500000002</v>
      </c>
      <c r="L227" s="27">
        <f>K230</f>
        <v>36505.517875000005</v>
      </c>
      <c r="M227" s="27">
        <f>L230</f>
        <v>36117.190193750008</v>
      </c>
      <c r="N227" s="27"/>
      <c r="O227" s="37"/>
    </row>
    <row r="228" spans="1:15" s="5" customFormat="1" ht="15" customHeight="1" outlineLevel="1">
      <c r="B228" s="280" t="s">
        <v>56</v>
      </c>
      <c r="C228" s="6"/>
      <c r="D228" s="10"/>
      <c r="E228" s="10"/>
      <c r="F228" s="10"/>
      <c r="G228" s="18"/>
      <c r="H228" s="27"/>
      <c r="I228" s="27">
        <f>I221</f>
        <v>5000</v>
      </c>
      <c r="J228" s="27">
        <f>J221</f>
        <v>5200</v>
      </c>
      <c r="K228" s="27">
        <f>K221</f>
        <v>5400</v>
      </c>
      <c r="L228" s="27">
        <f>L221</f>
        <v>5500</v>
      </c>
      <c r="M228" s="27">
        <f>M221</f>
        <v>5600</v>
      </c>
      <c r="N228" s="27"/>
      <c r="O228" s="37"/>
    </row>
    <row r="229" spans="1:15" s="5" customFormat="1" ht="15" customHeight="1" outlineLevel="1">
      <c r="B229" s="280" t="s">
        <v>58</v>
      </c>
      <c r="H229" s="216"/>
      <c r="I229" s="28">
        <f>-(I227+I228*$D$215)*$D$216</f>
        <v>-6256.65</v>
      </c>
      <c r="J229" s="28">
        <f>-(J227+J228*$D$215)*$D$216</f>
        <v>-6083.1524999999992</v>
      </c>
      <c r="K229" s="28">
        <f t="shared" ref="K229:L229" si="62">-(K227+K228*$D$215)*$D$216</f>
        <v>-5965.6796249999998</v>
      </c>
      <c r="L229" s="28">
        <f t="shared" si="62"/>
        <v>-5888.3276812500008</v>
      </c>
      <c r="M229" s="28">
        <f>-(M227+M228*$D$215)*$D$216</f>
        <v>-5837.5785290625008</v>
      </c>
      <c r="N229" s="27"/>
    </row>
    <row r="230" spans="1:15" s="5" customFormat="1" ht="15" customHeight="1" outlineLevel="1">
      <c r="B230" s="280" t="s">
        <v>11</v>
      </c>
      <c r="C230" s="6"/>
      <c r="D230" s="10"/>
      <c r="E230" s="10"/>
      <c r="F230" s="581"/>
      <c r="G230" s="18"/>
      <c r="H230" s="38">
        <f>Inputs!$L$96</f>
        <v>39211</v>
      </c>
      <c r="I230" s="27">
        <f>SUM(I227:I229)</f>
        <v>37954.35</v>
      </c>
      <c r="J230" s="27">
        <f>SUM(J227:J229)</f>
        <v>37071.197500000002</v>
      </c>
      <c r="K230" s="27">
        <f>SUM(K227:K229)</f>
        <v>36505.517875000005</v>
      </c>
      <c r="L230" s="27">
        <f>SUM(L227:L229)</f>
        <v>36117.190193750008</v>
      </c>
      <c r="M230" s="27">
        <f>SUM(M227:M229)</f>
        <v>35879.611664687509</v>
      </c>
      <c r="N230" s="27"/>
    </row>
    <row r="231" spans="1:15" s="5" customFormat="1" ht="15" customHeight="1" outlineLevel="1">
      <c r="B231" s="9"/>
      <c r="C231" s="6"/>
      <c r="D231" s="10"/>
      <c r="E231" s="10"/>
      <c r="F231" s="10"/>
      <c r="G231" s="10"/>
      <c r="H231" s="10"/>
      <c r="I231" s="37"/>
      <c r="J231" s="37"/>
      <c r="K231" s="37"/>
      <c r="L231" s="37"/>
      <c r="M231" s="37"/>
    </row>
    <row r="232" spans="1:15" s="5" customFormat="1" ht="15" customHeight="1" outlineLevel="1">
      <c r="B232" s="9"/>
      <c r="C232" s="6"/>
      <c r="D232" s="10"/>
      <c r="E232" s="10"/>
      <c r="F232" s="10"/>
      <c r="G232" s="10"/>
      <c r="H232" s="10"/>
      <c r="I232" s="37"/>
      <c r="J232" s="37"/>
      <c r="K232" s="37"/>
      <c r="L232" s="37"/>
      <c r="M232" s="37"/>
      <c r="O232" s="42"/>
    </row>
    <row r="233" spans="1:15" s="5" customFormat="1" ht="15" customHeight="1" outlineLevel="1">
      <c r="B233" s="9"/>
      <c r="C233" s="6"/>
      <c r="D233" s="10"/>
      <c r="E233" s="10"/>
      <c r="F233" s="10"/>
      <c r="G233" s="10"/>
      <c r="H233" s="10"/>
      <c r="I233" s="37"/>
      <c r="J233" s="37"/>
      <c r="K233" s="37"/>
      <c r="L233" s="37"/>
      <c r="M233" s="255" t="s">
        <v>193</v>
      </c>
      <c r="O233" s="39"/>
    </row>
    <row r="234" spans="1:15" s="5" customFormat="1" ht="15" customHeight="1" outlineLevel="1">
      <c r="B234" s="9"/>
      <c r="C234" s="6"/>
      <c r="D234" s="10"/>
      <c r="E234" s="10"/>
      <c r="F234" s="10"/>
      <c r="G234" s="10"/>
      <c r="H234" s="10"/>
      <c r="I234" s="37"/>
      <c r="J234" s="37"/>
      <c r="K234" s="37"/>
      <c r="L234" s="37"/>
      <c r="M234" s="120"/>
      <c r="O234" s="39"/>
    </row>
    <row r="235" spans="1:15" s="5" customFormat="1" ht="15" customHeight="1" outlineLevel="1">
      <c r="B235" s="29"/>
      <c r="C235" s="30"/>
      <c r="D235" s="31"/>
      <c r="E235" s="31"/>
      <c r="F235" s="31"/>
      <c r="G235" s="31"/>
      <c r="H235" s="31"/>
      <c r="I235" s="43"/>
      <c r="J235" s="43"/>
      <c r="K235" s="43"/>
      <c r="L235" s="43"/>
      <c r="M235" s="43"/>
      <c r="N235" s="43"/>
      <c r="O235" s="57"/>
    </row>
    <row r="236" spans="1:15" s="5" customFormat="1" ht="15" customHeight="1">
      <c r="B236" s="9"/>
      <c r="C236" s="6"/>
      <c r="D236" s="10"/>
      <c r="E236" s="10"/>
      <c r="F236" s="10"/>
      <c r="G236" s="10"/>
      <c r="H236" s="10"/>
      <c r="I236" s="37"/>
      <c r="J236" s="37"/>
      <c r="K236" s="37"/>
      <c r="L236" s="37"/>
      <c r="M236" s="37"/>
      <c r="N236" s="37"/>
      <c r="O236" s="57"/>
    </row>
    <row r="237" spans="1:15" s="5" customFormat="1" ht="15" customHeight="1">
      <c r="A237" s="5" t="s">
        <v>151</v>
      </c>
      <c r="B237" s="505" t="s">
        <v>78</v>
      </c>
      <c r="C237" s="489"/>
      <c r="D237" s="578"/>
      <c r="E237" s="578"/>
      <c r="F237" s="491"/>
      <c r="G237" s="491"/>
      <c r="H237" s="491"/>
      <c r="I237" s="579"/>
      <c r="J237" s="580"/>
      <c r="K237" s="580"/>
      <c r="L237" s="580"/>
      <c r="M237" s="580"/>
      <c r="N237" s="566"/>
      <c r="O237" s="57"/>
    </row>
    <row r="238" spans="1:15" s="5" customFormat="1" ht="15" customHeight="1" outlineLevel="1">
      <c r="B238" s="506"/>
      <c r="C238" s="6"/>
      <c r="D238" s="7"/>
      <c r="E238" s="7"/>
      <c r="F238" s="8"/>
      <c r="G238" s="8"/>
      <c r="H238" s="8"/>
      <c r="I238" s="8"/>
      <c r="J238" s="8"/>
      <c r="K238" s="8"/>
      <c r="L238" s="8"/>
      <c r="M238" s="8"/>
      <c r="O238" s="57"/>
    </row>
    <row r="239" spans="1:15" s="5" customFormat="1" ht="15" customHeight="1" outlineLevel="1" thickBot="1">
      <c r="B239" s="9" t="s">
        <v>22</v>
      </c>
      <c r="C239" s="6"/>
      <c r="D239" s="10"/>
      <c r="E239" s="10"/>
      <c r="F239" s="10"/>
      <c r="G239" s="10"/>
      <c r="H239" s="97">
        <f t="shared" ref="H239:M239" si="63">H$5</f>
        <v>2022</v>
      </c>
      <c r="I239" s="87">
        <f t="shared" si="63"/>
        <v>2023</v>
      </c>
      <c r="J239" s="87">
        <f t="shared" si="63"/>
        <v>2024</v>
      </c>
      <c r="K239" s="87">
        <f t="shared" si="63"/>
        <v>2025</v>
      </c>
      <c r="L239" s="87">
        <f t="shared" si="63"/>
        <v>2026</v>
      </c>
      <c r="M239" s="87">
        <f t="shared" si="63"/>
        <v>2027</v>
      </c>
      <c r="N239" s="37"/>
      <c r="O239" s="57"/>
    </row>
    <row r="240" spans="1:15" ht="15" customHeight="1" outlineLevel="1">
      <c r="A240" s="11"/>
      <c r="B240" s="9" t="str">
        <f>$B$6</f>
        <v>Model Running: Worst Case Drivers</v>
      </c>
      <c r="C240" s="6"/>
      <c r="D240" s="10"/>
      <c r="E240" s="10"/>
      <c r="F240" s="10"/>
      <c r="G240" s="10"/>
      <c r="H240" s="10"/>
      <c r="I240" s="37"/>
      <c r="J240" s="37"/>
      <c r="K240" s="37"/>
      <c r="L240" s="37"/>
      <c r="M240" s="37"/>
      <c r="N240" s="37"/>
    </row>
    <row r="241" spans="1:15" s="5" customFormat="1" ht="15" customHeight="1" outlineLevel="1">
      <c r="B241" s="9"/>
      <c r="C241" s="6"/>
      <c r="D241" s="10"/>
      <c r="E241" s="10"/>
      <c r="F241" s="10"/>
      <c r="G241" s="10"/>
      <c r="H241" s="10"/>
      <c r="I241" s="37"/>
      <c r="J241" s="37"/>
      <c r="K241" s="37"/>
      <c r="L241" s="37"/>
      <c r="M241" s="37"/>
      <c r="O241" s="42"/>
    </row>
    <row r="242" spans="1:15" s="5" customFormat="1" ht="15" customHeight="1" outlineLevel="1">
      <c r="B242" s="44" t="s">
        <v>62</v>
      </c>
      <c r="C242" s="6"/>
      <c r="D242" s="10"/>
      <c r="E242" s="10"/>
      <c r="G242" s="18"/>
      <c r="H242" s="27"/>
      <c r="I242" s="154">
        <f>I117</f>
        <v>11416.826879275002</v>
      </c>
      <c r="J242" s="127">
        <f>J117</f>
        <v>11072.939056943193</v>
      </c>
      <c r="K242" s="127">
        <f>K117</f>
        <v>10153.997893699026</v>
      </c>
      <c r="L242" s="127">
        <f>L117</f>
        <v>9401.2920300048645</v>
      </c>
      <c r="M242" s="173">
        <f>M117</f>
        <v>8621.6605807869564</v>
      </c>
      <c r="N242" s="27"/>
      <c r="O242" s="39"/>
    </row>
    <row r="243" spans="1:15" s="5" customFormat="1" ht="15" customHeight="1" outlineLevel="1">
      <c r="B243" s="44" t="s">
        <v>54</v>
      </c>
      <c r="C243" s="6"/>
      <c r="D243" s="10"/>
      <c r="E243" s="10"/>
      <c r="F243" s="10"/>
      <c r="G243" s="10"/>
      <c r="H243" s="10"/>
      <c r="I243" s="336">
        <f>IF(I253&gt;0,1,0)</f>
        <v>1</v>
      </c>
      <c r="J243" s="337">
        <f t="shared" ref="J243:M243" si="64">IF(J253&gt;0,1,0)</f>
        <v>1</v>
      </c>
      <c r="K243" s="337">
        <f t="shared" si="64"/>
        <v>1</v>
      </c>
      <c r="L243" s="337">
        <f t="shared" si="64"/>
        <v>1</v>
      </c>
      <c r="M243" s="338">
        <f t="shared" si="64"/>
        <v>1</v>
      </c>
      <c r="N243" s="271"/>
      <c r="O243" s="39"/>
    </row>
    <row r="244" spans="1:15" s="5" customFormat="1" ht="15" customHeight="1" outlineLevel="1">
      <c r="B244" s="9"/>
      <c r="C244" s="6"/>
      <c r="D244" s="10"/>
      <c r="E244" s="10"/>
      <c r="F244" s="10"/>
      <c r="G244" s="10"/>
      <c r="H244" s="10"/>
      <c r="I244" s="37"/>
      <c r="J244" s="37"/>
      <c r="K244" s="37"/>
      <c r="L244" s="37"/>
      <c r="M244" s="37"/>
      <c r="O244" s="39"/>
    </row>
    <row r="245" spans="1:15" s="5" customFormat="1" ht="15" customHeight="1" outlineLevel="1">
      <c r="B245" s="131" t="s">
        <v>53</v>
      </c>
      <c r="C245" s="130"/>
      <c r="D245" s="146">
        <f>$C$101</f>
        <v>0.3</v>
      </c>
      <c r="E245" s="10"/>
      <c r="F245" s="10"/>
      <c r="G245" s="10"/>
      <c r="H245" s="10"/>
      <c r="I245" s="37"/>
      <c r="J245" s="37"/>
      <c r="K245" s="37"/>
      <c r="L245" s="37"/>
      <c r="M245" s="37"/>
      <c r="O245" s="39"/>
    </row>
    <row r="246" spans="1:15" ht="15" customHeight="1" outlineLevel="1">
      <c r="A246" s="5"/>
      <c r="B246" s="172" t="s">
        <v>168</v>
      </c>
      <c r="C246" s="30"/>
      <c r="D246" s="264">
        <f>IF(M264=0,0,1)</f>
        <v>0</v>
      </c>
      <c r="E246" s="10"/>
      <c r="F246" s="27"/>
      <c r="G246" s="27"/>
      <c r="H246" s="27"/>
      <c r="I246" s="27"/>
      <c r="J246" s="27"/>
      <c r="K246" s="27"/>
      <c r="L246" s="27"/>
      <c r="O246" s="39"/>
    </row>
    <row r="247" spans="1:15" s="5" customFormat="1" ht="15" customHeight="1" outlineLevel="1">
      <c r="B247" s="9"/>
      <c r="C247" s="6"/>
      <c r="D247" s="587"/>
      <c r="E247" s="10"/>
      <c r="F247" s="10"/>
      <c r="G247" s="10"/>
      <c r="H247" s="10"/>
      <c r="I247" s="37"/>
      <c r="J247" s="37"/>
      <c r="K247" s="37"/>
      <c r="L247" s="37"/>
      <c r="M247" s="37"/>
    </row>
    <row r="248" spans="1:15" s="5" customFormat="1" ht="15" customHeight="1" outlineLevel="1">
      <c r="B248" s="9"/>
      <c r="C248" s="6"/>
      <c r="D248" s="587"/>
      <c r="E248" s="10"/>
      <c r="F248" s="10"/>
      <c r="G248" s="10"/>
      <c r="H248" s="10"/>
      <c r="I248" s="37"/>
      <c r="J248" s="37"/>
      <c r="K248" s="37"/>
      <c r="L248" s="37"/>
      <c r="M248" s="37"/>
    </row>
    <row r="249" spans="1:15" s="5" customFormat="1" ht="15" customHeight="1" outlineLevel="1">
      <c r="B249" s="50" t="s">
        <v>195</v>
      </c>
      <c r="C249" s="6"/>
      <c r="D249" s="10"/>
      <c r="E249" s="10"/>
      <c r="F249" s="10"/>
      <c r="G249" s="10"/>
      <c r="H249" s="10"/>
      <c r="I249" s="37"/>
      <c r="J249" s="37"/>
      <c r="K249" s="37"/>
      <c r="L249" s="37"/>
      <c r="M249" s="37"/>
      <c r="O249" s="42"/>
    </row>
    <row r="250" spans="1:15" s="5" customFormat="1" ht="15" customHeight="1" outlineLevel="1">
      <c r="B250" s="280" t="s">
        <v>34</v>
      </c>
      <c r="C250" s="6"/>
      <c r="D250" s="10"/>
      <c r="E250" s="10"/>
      <c r="F250" s="10"/>
      <c r="G250" s="10"/>
      <c r="H250" s="27"/>
      <c r="I250" s="27">
        <f>I242</f>
        <v>11416.826879275002</v>
      </c>
      <c r="J250" s="27">
        <f>J242</f>
        <v>11072.939056943193</v>
      </c>
      <c r="K250" s="27">
        <f>K242</f>
        <v>10153.997893699026</v>
      </c>
      <c r="L250" s="27">
        <f>L242</f>
        <v>9401.2920300048645</v>
      </c>
      <c r="M250" s="27">
        <f>M242</f>
        <v>8621.6605807869564</v>
      </c>
      <c r="N250" s="27"/>
      <c r="O250" s="42"/>
    </row>
    <row r="251" spans="1:15" s="5" customFormat="1" ht="15" customHeight="1" outlineLevel="1">
      <c r="B251" s="280" t="s">
        <v>35</v>
      </c>
      <c r="C251" s="6"/>
      <c r="D251" s="10"/>
      <c r="E251" s="10"/>
      <c r="F251" s="10"/>
      <c r="G251" s="10"/>
      <c r="H251" s="109"/>
      <c r="I251" s="27">
        <f>-I$222</f>
        <v>4188.375</v>
      </c>
      <c r="J251" s="27">
        <f>-J$222</f>
        <v>4443.375</v>
      </c>
      <c r="K251" s="27">
        <f>-K$222</f>
        <v>4708.375</v>
      </c>
      <c r="L251" s="27">
        <f>-L$222</f>
        <v>4980.875</v>
      </c>
      <c r="M251" s="27">
        <f>-M$222</f>
        <v>5258.375</v>
      </c>
      <c r="N251" s="27"/>
      <c r="O251" s="39"/>
    </row>
    <row r="252" spans="1:15" s="5" customFormat="1" ht="15" customHeight="1" outlineLevel="1">
      <c r="B252" s="280" t="s">
        <v>36</v>
      </c>
      <c r="C252" s="6"/>
      <c r="D252" s="10"/>
      <c r="E252" s="10"/>
      <c r="F252" s="10"/>
      <c r="G252" s="10"/>
      <c r="H252" s="109"/>
      <c r="I252" s="28">
        <f>I$229</f>
        <v>-6256.65</v>
      </c>
      <c r="J252" s="28">
        <f>J$229</f>
        <v>-6083.1524999999992</v>
      </c>
      <c r="K252" s="28">
        <f>K$229</f>
        <v>-5965.6796249999998</v>
      </c>
      <c r="L252" s="28">
        <f>L$229</f>
        <v>-5888.3276812500008</v>
      </c>
      <c r="M252" s="28">
        <f>M$229</f>
        <v>-5837.5785290625008</v>
      </c>
      <c r="N252" s="27"/>
      <c r="O252" s="39"/>
    </row>
    <row r="253" spans="1:15" s="5" customFormat="1" ht="15" customHeight="1" outlineLevel="1">
      <c r="B253" s="280" t="s">
        <v>60</v>
      </c>
      <c r="C253" s="6"/>
      <c r="D253" s="10"/>
      <c r="E253" s="10"/>
      <c r="F253" s="10"/>
      <c r="G253" s="10"/>
      <c r="H253" s="27"/>
      <c r="I253" s="27">
        <f>SUM(I250:I252)</f>
        <v>9348.5518792750026</v>
      </c>
      <c r="J253" s="27">
        <f>SUM(J250:J252)</f>
        <v>9433.1615569431924</v>
      </c>
      <c r="K253" s="27">
        <f>SUM(K250:K252)</f>
        <v>8896.6932686990258</v>
      </c>
      <c r="L253" s="27">
        <f>SUM(L250:L252)</f>
        <v>8493.8393487548637</v>
      </c>
      <c r="M253" s="27">
        <f>SUM(M250:M252)</f>
        <v>8042.4570517244556</v>
      </c>
      <c r="N253" s="27"/>
      <c r="O253" s="42"/>
    </row>
    <row r="254" spans="1:15" s="5" customFormat="1" ht="15" customHeight="1" outlineLevel="1">
      <c r="B254" s="9"/>
      <c r="C254" s="6"/>
      <c r="D254" s="10"/>
      <c r="E254" s="10"/>
      <c r="F254" s="10"/>
      <c r="G254" s="10"/>
      <c r="H254" s="109"/>
      <c r="I254" s="27"/>
      <c r="J254" s="27"/>
      <c r="K254" s="27"/>
      <c r="L254" s="27"/>
      <c r="M254" s="27"/>
      <c r="N254" s="27"/>
      <c r="O254" s="39"/>
    </row>
    <row r="255" spans="1:15" s="5" customFormat="1" ht="15" customHeight="1" outlineLevel="1">
      <c r="B255" s="148" t="s">
        <v>265</v>
      </c>
      <c r="C255" s="6"/>
      <c r="D255" s="10"/>
      <c r="E255" s="10"/>
      <c r="F255" s="10"/>
      <c r="G255" s="10"/>
      <c r="H255" s="109"/>
      <c r="I255" s="27"/>
      <c r="J255" s="27"/>
      <c r="K255" s="27"/>
      <c r="L255" s="27"/>
      <c r="M255" s="27"/>
      <c r="N255" s="27"/>
      <c r="O255" s="39"/>
    </row>
    <row r="256" spans="1:15" s="5" customFormat="1" ht="15" customHeight="1" outlineLevel="1">
      <c r="B256" s="280" t="s">
        <v>60</v>
      </c>
      <c r="C256" s="6"/>
      <c r="D256" s="10"/>
      <c r="E256" s="10"/>
      <c r="F256" s="10"/>
      <c r="G256" s="10"/>
      <c r="H256" s="27"/>
      <c r="I256" s="27">
        <f>I253</f>
        <v>9348.5518792750026</v>
      </c>
      <c r="J256" s="27">
        <f>J253</f>
        <v>9433.1615569431924</v>
      </c>
      <c r="K256" s="27">
        <f>K253</f>
        <v>8896.6932686990258</v>
      </c>
      <c r="L256" s="27">
        <f>L253</f>
        <v>8493.8393487548637</v>
      </c>
      <c r="M256" s="27">
        <f>M253</f>
        <v>8042.4570517244556</v>
      </c>
      <c r="N256" s="27"/>
      <c r="O256" s="39"/>
    </row>
    <row r="257" spans="2:15" s="5" customFormat="1" ht="15" customHeight="1" outlineLevel="1">
      <c r="B257" s="282" t="s">
        <v>266</v>
      </c>
      <c r="C257" s="6"/>
      <c r="D257" s="10"/>
      <c r="E257" s="10"/>
      <c r="F257" s="10"/>
      <c r="G257" s="10"/>
      <c r="H257" s="109"/>
      <c r="I257" s="28">
        <f>I263</f>
        <v>-9348.5518792750026</v>
      </c>
      <c r="J257" s="28">
        <f>J263</f>
        <v>-9433.1615569431924</v>
      </c>
      <c r="K257" s="28">
        <f>K263</f>
        <v>-5346.2865637818049</v>
      </c>
      <c r="L257" s="28">
        <f>L263</f>
        <v>0</v>
      </c>
      <c r="M257" s="28">
        <f>M263</f>
        <v>0</v>
      </c>
      <c r="N257" s="27"/>
      <c r="O257" s="39"/>
    </row>
    <row r="258" spans="2:15" s="5" customFormat="1" ht="15" customHeight="1" outlineLevel="1">
      <c r="B258" s="280" t="s">
        <v>37</v>
      </c>
      <c r="C258" s="6"/>
      <c r="D258" s="10"/>
      <c r="E258" s="10"/>
      <c r="F258" s="10"/>
      <c r="G258" s="10"/>
      <c r="H258" s="109"/>
      <c r="I258" s="27">
        <f xml:space="preserve"> MAX(SUM(I256:I257),0)</f>
        <v>0</v>
      </c>
      <c r="J258" s="27">
        <f xml:space="preserve"> MAX(SUM(J256:J257),0)</f>
        <v>0</v>
      </c>
      <c r="K258" s="27">
        <f xml:space="preserve"> MAX(SUM(K256:K257),0)</f>
        <v>3550.4067049172208</v>
      </c>
      <c r="L258" s="27">
        <f xml:space="preserve"> MAX(SUM(L256:L257),0)</f>
        <v>8493.8393487548637</v>
      </c>
      <c r="M258" s="27">
        <f xml:space="preserve"> MAX(SUM(M256:M257),0)</f>
        <v>8042.4570517244556</v>
      </c>
      <c r="N258" s="27"/>
      <c r="O258" s="42"/>
    </row>
    <row r="259" spans="2:15" s="5" customFormat="1" ht="15" customHeight="1" outlineLevel="1">
      <c r="B259" s="9"/>
      <c r="C259" s="6"/>
      <c r="D259" s="10"/>
      <c r="E259" s="10"/>
      <c r="F259" s="10"/>
      <c r="G259" s="10"/>
      <c r="H259" s="109"/>
      <c r="I259" s="109"/>
      <c r="J259" s="109"/>
      <c r="K259" s="109"/>
      <c r="L259" s="109"/>
      <c r="M259" s="109"/>
      <c r="N259" s="109"/>
      <c r="O259" s="42"/>
    </row>
    <row r="260" spans="2:15" s="5" customFormat="1" ht="15" customHeight="1" outlineLevel="1">
      <c r="B260" s="148" t="s">
        <v>196</v>
      </c>
      <c r="C260" s="6"/>
      <c r="D260" s="10"/>
      <c r="E260" s="10"/>
      <c r="F260" s="10"/>
      <c r="G260" s="10"/>
      <c r="H260" s="109"/>
      <c r="I260" s="109"/>
      <c r="J260" s="109"/>
      <c r="K260" s="109"/>
      <c r="L260" s="109"/>
      <c r="M260" s="109"/>
      <c r="N260" s="109"/>
      <c r="O260" s="42"/>
    </row>
    <row r="261" spans="2:15" s="5" customFormat="1" ht="15" customHeight="1" outlineLevel="1">
      <c r="B261" s="280" t="s">
        <v>10</v>
      </c>
      <c r="C261" s="6"/>
      <c r="D261" s="10"/>
      <c r="E261" s="10"/>
      <c r="F261" s="10"/>
      <c r="G261" s="10"/>
      <c r="H261" s="109"/>
      <c r="I261" s="27">
        <f>H264</f>
        <v>24128</v>
      </c>
      <c r="J261" s="27">
        <f>I264</f>
        <v>14779.448120724997</v>
      </c>
      <c r="K261" s="27">
        <f>J264</f>
        <v>5346.2865637818049</v>
      </c>
      <c r="L261" s="27">
        <f>K264</f>
        <v>0</v>
      </c>
      <c r="M261" s="27">
        <f>L264</f>
        <v>0</v>
      </c>
      <c r="N261" s="27"/>
      <c r="O261" s="42"/>
    </row>
    <row r="262" spans="2:15" s="5" customFormat="1" ht="15" customHeight="1" outlineLevel="1">
      <c r="B262" s="280" t="s">
        <v>49</v>
      </c>
      <c r="C262" s="6"/>
      <c r="D262" s="10"/>
      <c r="E262" s="10"/>
      <c r="F262" s="10"/>
      <c r="G262" s="10"/>
      <c r="H262" s="109"/>
      <c r="I262" s="27">
        <f>-MIN(I250,0)</f>
        <v>0</v>
      </c>
      <c r="J262" s="27">
        <f>-MIN(J250,0)</f>
        <v>0</v>
      </c>
      <c r="K262" s="27">
        <f>-MIN(K250,0)</f>
        <v>0</v>
      </c>
      <c r="L262" s="27">
        <f>-MIN(L250,0)</f>
        <v>0</v>
      </c>
      <c r="M262" s="27">
        <f>-MIN(M250,0)</f>
        <v>0</v>
      </c>
      <c r="N262" s="27"/>
      <c r="O262" s="42"/>
    </row>
    <row r="263" spans="2:15" s="5" customFormat="1" ht="15" customHeight="1" outlineLevel="1">
      <c r="B263" s="282" t="s">
        <v>61</v>
      </c>
      <c r="C263" s="6"/>
      <c r="D263" s="10"/>
      <c r="E263" s="10"/>
      <c r="F263" s="10"/>
      <c r="G263" s="10"/>
      <c r="H263" s="177"/>
      <c r="I263" s="28">
        <f>-MIN(I261,I256)*I243</f>
        <v>-9348.5518792750026</v>
      </c>
      <c r="J263" s="28">
        <f>-MIN(J261,J256)*J243</f>
        <v>-9433.1615569431924</v>
      </c>
      <c r="K263" s="28">
        <f>-MIN(K261,K256)*K243</f>
        <v>-5346.2865637818049</v>
      </c>
      <c r="L263" s="28">
        <f>-MIN(L261,L256)*L243</f>
        <v>0</v>
      </c>
      <c r="M263" s="28">
        <f>-MIN(M261,M256)*M243</f>
        <v>0</v>
      </c>
      <c r="N263" s="27"/>
      <c r="O263" s="42"/>
    </row>
    <row r="264" spans="2:15" s="5" customFormat="1" ht="15" customHeight="1" outlineLevel="1">
      <c r="B264" s="280" t="s">
        <v>11</v>
      </c>
      <c r="C264" s="6"/>
      <c r="D264" s="10"/>
      <c r="E264" s="10"/>
      <c r="F264" s="10"/>
      <c r="G264" s="10"/>
      <c r="H264" s="38">
        <f>Inputs!$L$97</f>
        <v>24128</v>
      </c>
      <c r="I264" s="27">
        <f>SUM(I261:I263)</f>
        <v>14779.448120724997</v>
      </c>
      <c r="J264" s="27">
        <f>SUM(J261:J263)</f>
        <v>5346.2865637818049</v>
      </c>
      <c r="K264" s="27">
        <f>SUM(K261:K263)</f>
        <v>0</v>
      </c>
      <c r="L264" s="27">
        <f>SUM(L261:L263)</f>
        <v>0</v>
      </c>
      <c r="M264" s="27">
        <f>SUM(M261:M263)</f>
        <v>0</v>
      </c>
      <c r="N264" s="27"/>
      <c r="O264" s="39"/>
    </row>
    <row r="265" spans="2:15" s="5" customFormat="1" ht="15" customHeight="1" outlineLevel="1">
      <c r="B265" s="9"/>
      <c r="C265" s="6"/>
      <c r="D265" s="10"/>
      <c r="E265" s="10"/>
      <c r="F265" s="10"/>
      <c r="G265" s="10"/>
      <c r="H265" s="109"/>
      <c r="I265" s="109"/>
      <c r="J265" s="109"/>
      <c r="K265" s="109"/>
      <c r="L265" s="109"/>
      <c r="M265" s="109"/>
      <c r="N265" s="109"/>
      <c r="O265" s="42"/>
    </row>
    <row r="266" spans="2:15" s="5" customFormat="1" ht="15" customHeight="1" outlineLevel="1">
      <c r="B266" s="47"/>
      <c r="C266" s="48"/>
      <c r="D266" s="49"/>
      <c r="E266" s="49"/>
      <c r="F266" s="49"/>
      <c r="G266" s="49"/>
      <c r="H266" s="178"/>
      <c r="I266" s="178"/>
      <c r="J266" s="178"/>
      <c r="K266" s="178"/>
      <c r="L266" s="178"/>
      <c r="M266" s="178"/>
      <c r="N266" s="188"/>
      <c r="O266" s="42"/>
    </row>
    <row r="267" spans="2:15" s="5" customFormat="1" ht="15" customHeight="1" outlineLevel="1">
      <c r="B267" s="9"/>
      <c r="C267" s="6"/>
      <c r="D267" s="10"/>
      <c r="E267" s="10"/>
      <c r="F267" s="10"/>
      <c r="G267" s="10"/>
      <c r="H267" s="109"/>
      <c r="I267" s="109"/>
      <c r="J267" s="109"/>
      <c r="K267" s="109"/>
      <c r="L267" s="109"/>
      <c r="M267" s="109"/>
      <c r="N267" s="109"/>
      <c r="O267" s="42"/>
    </row>
    <row r="268" spans="2:15" s="5" customFormat="1" ht="15" customHeight="1" outlineLevel="1">
      <c r="B268" s="50" t="s">
        <v>197</v>
      </c>
      <c r="C268" s="6"/>
      <c r="D268" s="10"/>
      <c r="E268" s="10"/>
      <c r="F268" s="10"/>
      <c r="G268" s="10"/>
      <c r="H268" s="109"/>
      <c r="I268" s="109"/>
      <c r="J268" s="109"/>
      <c r="K268" s="109"/>
      <c r="L268" s="109"/>
      <c r="M268" s="109"/>
      <c r="N268" s="109"/>
      <c r="O268" s="42"/>
    </row>
    <row r="269" spans="2:15" s="5" customFormat="1" ht="15" customHeight="1" outlineLevel="1">
      <c r="B269" s="280" t="s">
        <v>50</v>
      </c>
      <c r="C269" s="6"/>
      <c r="D269" s="10"/>
      <c r="E269" s="10"/>
      <c r="F269" s="18"/>
      <c r="G269" s="18"/>
      <c r="H269" s="27"/>
      <c r="I269" s="27">
        <f>$D$245*I258</f>
        <v>0</v>
      </c>
      <c r="J269" s="27">
        <f>$D$245*J258</f>
        <v>0</v>
      </c>
      <c r="K269" s="27">
        <f>$D$245*K258</f>
        <v>1065.1220114751661</v>
      </c>
      <c r="L269" s="27">
        <f>$D$245*L258</f>
        <v>2548.1518046264591</v>
      </c>
      <c r="M269" s="27">
        <f>$D$245*M258</f>
        <v>2412.7371155173364</v>
      </c>
      <c r="N269" s="27"/>
    </row>
    <row r="270" spans="2:15" s="5" customFormat="1" ht="15" customHeight="1" outlineLevel="1">
      <c r="B270" s="280" t="s">
        <v>51</v>
      </c>
      <c r="C270" s="6"/>
      <c r="D270" s="10"/>
      <c r="E270" s="10"/>
      <c r="F270" s="10"/>
      <c r="G270" s="10"/>
      <c r="H270" s="109"/>
      <c r="I270" s="27">
        <f>I271-I269</f>
        <v>3425.0480637825008</v>
      </c>
      <c r="J270" s="27">
        <f>J271-J269</f>
        <v>3321.8817170829575</v>
      </c>
      <c r="K270" s="27">
        <f>K271-K269</f>
        <v>1981.0773566345417</v>
      </c>
      <c r="L270" s="27">
        <f>L271-L269</f>
        <v>272.23580437500004</v>
      </c>
      <c r="M270" s="27">
        <f>M271-M269</f>
        <v>173.76105871875052</v>
      </c>
      <c r="N270" s="27"/>
    </row>
    <row r="271" spans="2:15" s="5" customFormat="1" ht="15" customHeight="1" outlineLevel="1" thickBot="1">
      <c r="B271" s="280" t="s">
        <v>52</v>
      </c>
      <c r="C271" s="6"/>
      <c r="D271" s="10"/>
      <c r="E271" s="10"/>
      <c r="F271" s="10"/>
      <c r="G271" s="10"/>
      <c r="H271" s="109"/>
      <c r="I271" s="407">
        <f>MAX($D$245*I250,0)</f>
        <v>3425.0480637825008</v>
      </c>
      <c r="J271" s="407">
        <f>MAX($D$245*J250,0)</f>
        <v>3321.8817170829575</v>
      </c>
      <c r="K271" s="407">
        <f>MAX($D$245*K250,0)</f>
        <v>3046.1993681097078</v>
      </c>
      <c r="L271" s="407">
        <f>MAX($D$245*L250,0)</f>
        <v>2820.3876090014592</v>
      </c>
      <c r="M271" s="407">
        <f>MAX($D$245*M250,0)</f>
        <v>2586.4981742360869</v>
      </c>
      <c r="N271" s="27"/>
    </row>
    <row r="272" spans="2:15" s="5" customFormat="1" ht="15" customHeight="1" outlineLevel="1">
      <c r="B272" s="9"/>
      <c r="C272" s="6"/>
      <c r="D272" s="10"/>
      <c r="E272" s="10"/>
      <c r="F272" s="10"/>
      <c r="G272" s="10"/>
      <c r="H272" s="10"/>
      <c r="I272" s="37"/>
      <c r="J272" s="37"/>
      <c r="K272" s="37"/>
      <c r="L272" s="37"/>
      <c r="M272" s="37"/>
      <c r="O272" s="39"/>
    </row>
    <row r="273" spans="1:15" s="11" customFormat="1" ht="15" customHeight="1" outlineLevel="1">
      <c r="B273" s="15"/>
      <c r="C273" s="15"/>
      <c r="D273" s="13"/>
      <c r="E273" s="13"/>
      <c r="F273" s="42"/>
      <c r="G273" s="42"/>
      <c r="H273" s="42"/>
      <c r="I273" s="123"/>
      <c r="J273" s="123"/>
      <c r="K273" s="123"/>
      <c r="L273" s="123"/>
      <c r="M273" s="144"/>
      <c r="N273" s="144"/>
      <c r="O273" s="204"/>
    </row>
    <row r="274" spans="1:15" s="5" customFormat="1" ht="15" customHeight="1" outlineLevel="1">
      <c r="C274" s="6"/>
      <c r="D274" s="10"/>
      <c r="E274" s="10"/>
      <c r="F274" s="10"/>
      <c r="G274" s="10"/>
      <c r="H274" s="10"/>
      <c r="I274" s="37"/>
      <c r="J274" s="37"/>
      <c r="K274" s="37"/>
      <c r="L274" s="37"/>
      <c r="M274" s="255" t="s">
        <v>216</v>
      </c>
      <c r="O274" s="39"/>
    </row>
    <row r="275" spans="1:15" s="5" customFormat="1" ht="15" customHeight="1" outlineLevel="1">
      <c r="C275" s="6"/>
      <c r="D275" s="10"/>
      <c r="E275" s="10"/>
      <c r="F275" s="10"/>
      <c r="G275" s="10"/>
      <c r="H275" s="10"/>
      <c r="I275" s="37"/>
      <c r="J275" s="37"/>
      <c r="K275" s="37"/>
      <c r="L275" s="37"/>
      <c r="M275" s="256" t="s">
        <v>217</v>
      </c>
      <c r="O275" s="39"/>
    </row>
    <row r="276" spans="1:15" s="5" customFormat="1" ht="15" customHeight="1" outlineLevel="1">
      <c r="C276" s="6"/>
      <c r="D276" s="10"/>
      <c r="E276" s="10"/>
      <c r="F276" s="10"/>
      <c r="G276" s="10"/>
      <c r="H276" s="10"/>
      <c r="I276" s="37"/>
      <c r="J276" s="37"/>
      <c r="K276" s="37"/>
      <c r="L276" s="37"/>
      <c r="M276" s="121"/>
      <c r="O276" s="39"/>
    </row>
    <row r="277" spans="1:15" s="5" customFormat="1" ht="15" customHeight="1" outlineLevel="1">
      <c r="B277" s="29"/>
      <c r="C277" s="30"/>
      <c r="D277" s="31"/>
      <c r="E277" s="31"/>
      <c r="F277" s="31"/>
      <c r="G277" s="31"/>
      <c r="H277" s="31"/>
      <c r="I277" s="43"/>
      <c r="J277" s="43"/>
      <c r="K277" s="43"/>
      <c r="L277" s="43"/>
      <c r="M277" s="43"/>
      <c r="N277" s="43"/>
      <c r="O277" s="42"/>
    </row>
    <row r="278" spans="1:15" s="5" customFormat="1" ht="15" customHeight="1">
      <c r="B278" s="9"/>
      <c r="C278" s="6"/>
      <c r="D278" s="10"/>
      <c r="E278" s="10"/>
      <c r="F278" s="10"/>
      <c r="G278" s="10"/>
      <c r="H278" s="10"/>
      <c r="I278" s="37"/>
      <c r="J278" s="37"/>
      <c r="K278" s="37"/>
      <c r="L278" s="37"/>
      <c r="M278" s="37"/>
      <c r="N278" s="37"/>
      <c r="O278" s="42"/>
    </row>
    <row r="279" spans="1:15" s="5" customFormat="1" ht="15" customHeight="1">
      <c r="A279" s="5" t="s">
        <v>151</v>
      </c>
      <c r="B279" s="505" t="s">
        <v>79</v>
      </c>
      <c r="C279" s="489"/>
      <c r="D279" s="578"/>
      <c r="E279" s="578"/>
      <c r="F279" s="491"/>
      <c r="G279" s="491"/>
      <c r="H279" s="491"/>
      <c r="I279" s="579"/>
      <c r="J279" s="580"/>
      <c r="K279" s="580"/>
      <c r="L279" s="580"/>
      <c r="M279" s="580"/>
      <c r="N279" s="566"/>
      <c r="O279" s="42"/>
    </row>
    <row r="280" spans="1:15" s="5" customFormat="1" ht="15" customHeight="1" outlineLevel="1">
      <c r="B280" s="506"/>
      <c r="C280" s="6"/>
      <c r="D280" s="7"/>
      <c r="E280" s="7"/>
      <c r="F280" s="8"/>
      <c r="G280" s="8"/>
      <c r="H280" s="8"/>
      <c r="I280" s="8"/>
      <c r="J280" s="8"/>
      <c r="K280" s="8"/>
      <c r="L280" s="8"/>
      <c r="M280" s="8"/>
      <c r="O280" s="57"/>
    </row>
    <row r="281" spans="1:15" s="5" customFormat="1" ht="15" customHeight="1" outlineLevel="1" thickBot="1">
      <c r="B281" s="9" t="s">
        <v>22</v>
      </c>
      <c r="C281" s="6"/>
      <c r="D281" s="10"/>
      <c r="E281" s="10"/>
      <c r="F281" s="10"/>
      <c r="G281" s="10"/>
      <c r="H281" s="97">
        <f t="shared" ref="H281:M281" si="65">H$5</f>
        <v>2022</v>
      </c>
      <c r="I281" s="87">
        <f t="shared" si="65"/>
        <v>2023</v>
      </c>
      <c r="J281" s="87">
        <f t="shared" si="65"/>
        <v>2024</v>
      </c>
      <c r="K281" s="87">
        <f t="shared" si="65"/>
        <v>2025</v>
      </c>
      <c r="L281" s="87">
        <f t="shared" si="65"/>
        <v>2026</v>
      </c>
      <c r="M281" s="87">
        <f t="shared" si="65"/>
        <v>2027</v>
      </c>
      <c r="N281" s="37"/>
      <c r="O281" s="42"/>
    </row>
    <row r="282" spans="1:15" ht="15" customHeight="1" outlineLevel="1">
      <c r="A282" s="11"/>
      <c r="B282" s="9" t="str">
        <f>$B$6</f>
        <v>Model Running: Worst Case Drivers</v>
      </c>
      <c r="C282" s="6"/>
      <c r="D282" s="10"/>
      <c r="E282" s="10"/>
      <c r="F282" s="10"/>
      <c r="G282" s="10"/>
      <c r="H282" s="10"/>
      <c r="I282" s="37"/>
      <c r="J282" s="37"/>
      <c r="K282" s="37"/>
      <c r="L282" s="37"/>
      <c r="M282" s="37"/>
      <c r="N282" s="37"/>
    </row>
    <row r="283" spans="1:15" s="5" customFormat="1" ht="15" customHeight="1" outlineLevel="1">
      <c r="B283" s="9"/>
      <c r="C283" s="6"/>
      <c r="D283" s="10"/>
      <c r="E283" s="10"/>
      <c r="F283" s="10"/>
      <c r="G283" s="10"/>
      <c r="H283" s="10"/>
      <c r="I283" s="37"/>
      <c r="J283" s="37"/>
      <c r="K283" s="37"/>
      <c r="L283" s="37"/>
      <c r="M283" s="37"/>
      <c r="O283" s="42"/>
    </row>
    <row r="284" spans="1:15" s="5" customFormat="1" ht="15" customHeight="1" outlineLevel="1">
      <c r="B284" s="44" t="s">
        <v>80</v>
      </c>
      <c r="C284" s="6"/>
      <c r="D284" s="10"/>
      <c r="E284" s="10"/>
      <c r="F284" s="18"/>
      <c r="G284" s="18"/>
      <c r="H284" s="27"/>
      <c r="I284" s="154">
        <f>I114</f>
        <v>13936.826879275002</v>
      </c>
      <c r="J284" s="127">
        <f>J114</f>
        <v>13592.939056943193</v>
      </c>
      <c r="K284" s="127">
        <f>K114</f>
        <v>12673.997893699026</v>
      </c>
      <c r="L284" s="127">
        <f>L114</f>
        <v>11921.292030004865</v>
      </c>
      <c r="M284" s="173">
        <f>M114</f>
        <v>11141.660580786956</v>
      </c>
      <c r="N284" s="27"/>
      <c r="O284" s="39"/>
    </row>
    <row r="285" spans="1:15" s="5" customFormat="1" ht="15" customHeight="1" outlineLevel="1">
      <c r="B285" s="44" t="s">
        <v>54</v>
      </c>
      <c r="C285" s="6"/>
      <c r="D285" s="10"/>
      <c r="E285" s="10"/>
      <c r="F285" s="10"/>
      <c r="G285" s="10"/>
      <c r="H285" s="10"/>
      <c r="I285" s="336">
        <f>IF(I295&gt;0,1,0)</f>
        <v>1</v>
      </c>
      <c r="J285" s="337">
        <f t="shared" ref="J285:M285" si="66">IF(J295&gt;0,1,0)</f>
        <v>1</v>
      </c>
      <c r="K285" s="337">
        <f t="shared" si="66"/>
        <v>1</v>
      </c>
      <c r="L285" s="337">
        <f t="shared" si="66"/>
        <v>1</v>
      </c>
      <c r="M285" s="338">
        <f t="shared" si="66"/>
        <v>1</v>
      </c>
      <c r="N285" s="271"/>
      <c r="O285" s="39"/>
    </row>
    <row r="286" spans="1:15" s="5" customFormat="1" ht="15" customHeight="1" outlineLevel="1">
      <c r="B286" s="9"/>
      <c r="C286" s="6"/>
      <c r="D286" s="10"/>
      <c r="E286" s="10"/>
      <c r="F286" s="10"/>
      <c r="G286" s="10"/>
      <c r="H286" s="10"/>
      <c r="I286" s="37"/>
      <c r="J286" s="37"/>
      <c r="K286" s="37"/>
      <c r="L286" s="37"/>
      <c r="M286" s="37"/>
      <c r="O286" s="39"/>
    </row>
    <row r="287" spans="1:15" s="5" customFormat="1" ht="15" customHeight="1" outlineLevel="1">
      <c r="B287" s="131" t="s">
        <v>53</v>
      </c>
      <c r="C287" s="130"/>
      <c r="D287" s="146">
        <f>$C$101</f>
        <v>0.3</v>
      </c>
      <c r="E287" s="10"/>
      <c r="F287" s="10"/>
      <c r="G287" s="10"/>
      <c r="H287" s="10"/>
      <c r="I287" s="37"/>
      <c r="J287" s="37"/>
      <c r="K287" s="37"/>
      <c r="L287" s="37"/>
      <c r="M287" s="37"/>
      <c r="O287" s="39"/>
    </row>
    <row r="288" spans="1:15" ht="15" customHeight="1" outlineLevel="1">
      <c r="A288" s="5"/>
      <c r="B288" s="172" t="s">
        <v>168</v>
      </c>
      <c r="C288" s="30"/>
      <c r="D288" s="264">
        <f>IF(M306=0,0,1)</f>
        <v>0</v>
      </c>
      <c r="E288" s="10"/>
      <c r="F288" s="27"/>
      <c r="G288" s="27"/>
      <c r="H288" s="27"/>
      <c r="I288" s="27"/>
      <c r="J288" s="27"/>
      <c r="K288" s="27"/>
      <c r="L288" s="27"/>
      <c r="O288" s="39"/>
    </row>
    <row r="289" spans="2:15" s="5" customFormat="1" ht="15" customHeight="1" outlineLevel="1">
      <c r="B289" s="9"/>
      <c r="C289" s="6"/>
      <c r="D289" s="587"/>
      <c r="E289" s="10"/>
      <c r="F289" s="10"/>
      <c r="G289" s="10"/>
      <c r="H289" s="10"/>
      <c r="I289" s="37"/>
      <c r="J289" s="37"/>
      <c r="K289" s="37"/>
      <c r="L289" s="37"/>
      <c r="M289" s="37"/>
    </row>
    <row r="290" spans="2:15" s="5" customFormat="1" ht="15" customHeight="1" outlineLevel="1">
      <c r="B290" s="9"/>
      <c r="C290" s="6"/>
      <c r="D290" s="587"/>
      <c r="E290" s="10"/>
      <c r="F290" s="10"/>
      <c r="G290" s="10"/>
      <c r="H290" s="10"/>
      <c r="I290" s="37"/>
      <c r="J290" s="37"/>
      <c r="K290" s="37"/>
      <c r="L290" s="37"/>
      <c r="M290" s="37"/>
    </row>
    <row r="291" spans="2:15" s="5" customFormat="1" ht="15" customHeight="1" outlineLevel="1">
      <c r="B291" s="50" t="s">
        <v>195</v>
      </c>
      <c r="C291" s="6"/>
      <c r="D291" s="10"/>
      <c r="E291" s="10"/>
      <c r="F291" s="10"/>
      <c r="G291" s="10"/>
      <c r="H291" s="109"/>
      <c r="I291" s="109"/>
      <c r="J291" s="109"/>
      <c r="K291" s="109"/>
      <c r="L291" s="109"/>
      <c r="M291" s="109"/>
      <c r="O291" s="42"/>
    </row>
    <row r="292" spans="2:15" s="5" customFormat="1" ht="15" customHeight="1" outlineLevel="1">
      <c r="B292" s="280" t="s">
        <v>42</v>
      </c>
      <c r="C292" s="6"/>
      <c r="D292" s="10"/>
      <c r="E292" s="10"/>
      <c r="F292" s="18"/>
      <c r="G292" s="18"/>
      <c r="H292" s="27"/>
      <c r="I292" s="27">
        <f>I284</f>
        <v>13936.826879275002</v>
      </c>
      <c r="J292" s="27">
        <f>J284</f>
        <v>13592.939056943193</v>
      </c>
      <c r="K292" s="27">
        <f>K284</f>
        <v>12673.997893699026</v>
      </c>
      <c r="L292" s="27">
        <f>L284</f>
        <v>11921.292030004865</v>
      </c>
      <c r="M292" s="27">
        <f>M284</f>
        <v>11141.660580786956</v>
      </c>
      <c r="N292" s="27"/>
      <c r="O292" s="42"/>
    </row>
    <row r="293" spans="2:15" s="5" customFormat="1" ht="15" customHeight="1" outlineLevel="1">
      <c r="B293" s="280" t="s">
        <v>35</v>
      </c>
      <c r="C293" s="6"/>
      <c r="D293" s="10"/>
      <c r="E293" s="10"/>
      <c r="F293" s="10"/>
      <c r="G293" s="10"/>
      <c r="H293" s="109"/>
      <c r="I293" s="27">
        <f>-I$222</f>
        <v>4188.375</v>
      </c>
      <c r="J293" s="27">
        <f>-J$222</f>
        <v>4443.375</v>
      </c>
      <c r="K293" s="27">
        <f>-K$222</f>
        <v>4708.375</v>
      </c>
      <c r="L293" s="27">
        <f>-L$222</f>
        <v>4980.875</v>
      </c>
      <c r="M293" s="27">
        <f>-M$222</f>
        <v>5258.375</v>
      </c>
      <c r="N293" s="27"/>
      <c r="O293" s="39"/>
    </row>
    <row r="294" spans="2:15" s="5" customFormat="1" ht="15" customHeight="1" outlineLevel="1">
      <c r="B294" s="280" t="s">
        <v>36</v>
      </c>
      <c r="C294" s="6"/>
      <c r="D294" s="10"/>
      <c r="E294" s="10"/>
      <c r="F294" s="10"/>
      <c r="G294" s="10"/>
      <c r="H294" s="109"/>
      <c r="I294" s="28">
        <f>I$229</f>
        <v>-6256.65</v>
      </c>
      <c r="J294" s="28">
        <f>J$229</f>
        <v>-6083.1524999999992</v>
      </c>
      <c r="K294" s="28">
        <f>K$229</f>
        <v>-5965.6796249999998</v>
      </c>
      <c r="L294" s="28">
        <f>L$229</f>
        <v>-5888.3276812500008</v>
      </c>
      <c r="M294" s="28">
        <f>M$229</f>
        <v>-5837.5785290625008</v>
      </c>
      <c r="N294" s="27"/>
      <c r="O294" s="39"/>
    </row>
    <row r="295" spans="2:15" s="5" customFormat="1" ht="15" customHeight="1" outlineLevel="1">
      <c r="B295" s="280" t="s">
        <v>81</v>
      </c>
      <c r="C295" s="6"/>
      <c r="D295" s="10"/>
      <c r="E295" s="10"/>
      <c r="F295" s="18"/>
      <c r="G295" s="18"/>
      <c r="H295" s="27"/>
      <c r="I295" s="27">
        <f>SUM(I292:I294)</f>
        <v>11868.551879275003</v>
      </c>
      <c r="J295" s="27">
        <f>SUM(J292:J294)</f>
        <v>11953.161556943192</v>
      </c>
      <c r="K295" s="27">
        <f>SUM(K292:K294)</f>
        <v>11416.693268699026</v>
      </c>
      <c r="L295" s="27">
        <f>SUM(L292:L294)</f>
        <v>11013.839348754864</v>
      </c>
      <c r="M295" s="27">
        <f>SUM(M292:M294)</f>
        <v>10562.457051724456</v>
      </c>
      <c r="N295" s="27"/>
      <c r="O295" s="42"/>
    </row>
    <row r="296" spans="2:15" s="5" customFormat="1" ht="15" customHeight="1" outlineLevel="1">
      <c r="B296" s="9"/>
      <c r="C296" s="6"/>
      <c r="D296" s="10"/>
      <c r="E296" s="10"/>
      <c r="F296" s="10"/>
      <c r="G296" s="10"/>
      <c r="H296" s="109"/>
      <c r="I296" s="27"/>
      <c r="J296" s="27"/>
      <c r="K296" s="27"/>
      <c r="L296" s="27"/>
      <c r="M296" s="27"/>
      <c r="N296" s="27"/>
      <c r="O296" s="39"/>
    </row>
    <row r="297" spans="2:15" s="5" customFormat="1" ht="15" customHeight="1" outlineLevel="1">
      <c r="B297" s="148" t="s">
        <v>265</v>
      </c>
      <c r="C297" s="6"/>
      <c r="D297" s="10"/>
      <c r="E297" s="10"/>
      <c r="F297" s="10"/>
      <c r="G297" s="10"/>
      <c r="H297" s="109"/>
      <c r="I297" s="27"/>
      <c r="J297" s="27"/>
      <c r="K297" s="27"/>
      <c r="L297" s="27"/>
      <c r="M297" s="27"/>
      <c r="N297" s="27"/>
      <c r="O297" s="39"/>
    </row>
    <row r="298" spans="2:15" s="5" customFormat="1" ht="15" customHeight="1" outlineLevel="1">
      <c r="B298" s="280" t="s">
        <v>81</v>
      </c>
      <c r="C298" s="6"/>
      <c r="D298" s="10"/>
      <c r="E298" s="10"/>
      <c r="F298" s="18"/>
      <c r="G298" s="18"/>
      <c r="H298" s="27"/>
      <c r="I298" s="27">
        <f>I295</f>
        <v>11868.551879275003</v>
      </c>
      <c r="J298" s="27">
        <f>J295</f>
        <v>11953.161556943192</v>
      </c>
      <c r="K298" s="27">
        <f>K295</f>
        <v>11416.693268699026</v>
      </c>
      <c r="L298" s="27">
        <f>L295</f>
        <v>11013.839348754864</v>
      </c>
      <c r="M298" s="27">
        <f>M295</f>
        <v>10562.457051724456</v>
      </c>
      <c r="N298" s="27"/>
      <c r="O298" s="39"/>
    </row>
    <row r="299" spans="2:15" s="5" customFormat="1" ht="15" customHeight="1" outlineLevel="1">
      <c r="B299" s="282" t="s">
        <v>266</v>
      </c>
      <c r="C299" s="6"/>
      <c r="D299" s="10"/>
      <c r="E299" s="10"/>
      <c r="F299" s="10"/>
      <c r="G299" s="10"/>
      <c r="H299" s="109"/>
      <c r="I299" s="28">
        <f>I305</f>
        <v>-11868.551879275003</v>
      </c>
      <c r="J299" s="28">
        <f>J305</f>
        <v>-11953.161556943192</v>
      </c>
      <c r="K299" s="28">
        <f>K305</f>
        <v>-306.28656378180494</v>
      </c>
      <c r="L299" s="28">
        <f>L305</f>
        <v>0</v>
      </c>
      <c r="M299" s="28">
        <f>M305</f>
        <v>0</v>
      </c>
      <c r="N299" s="27"/>
      <c r="O299" s="39"/>
    </row>
    <row r="300" spans="2:15" s="5" customFormat="1" ht="15" customHeight="1" outlineLevel="1">
      <c r="B300" s="280" t="s">
        <v>37</v>
      </c>
      <c r="C300" s="6"/>
      <c r="D300" s="10"/>
      <c r="E300" s="10"/>
      <c r="F300" s="10"/>
      <c r="G300" s="10"/>
      <c r="H300" s="109"/>
      <c r="I300" s="27">
        <f xml:space="preserve"> MAX(SUM(I298:I299),0)</f>
        <v>0</v>
      </c>
      <c r="J300" s="27">
        <f xml:space="preserve"> MAX(SUM(J298:J299),0)</f>
        <v>0</v>
      </c>
      <c r="K300" s="27">
        <f xml:space="preserve"> MAX(SUM(K298:K299),0)</f>
        <v>11110.406704917221</v>
      </c>
      <c r="L300" s="27">
        <f xml:space="preserve"> MAX(SUM(L298:L299),0)</f>
        <v>11013.839348754864</v>
      </c>
      <c r="M300" s="27">
        <f xml:space="preserve"> MAX(SUM(M298:M299),0)</f>
        <v>10562.457051724456</v>
      </c>
      <c r="N300" s="27"/>
      <c r="O300" s="42"/>
    </row>
    <row r="301" spans="2:15" s="5" customFormat="1" ht="15" customHeight="1" outlineLevel="1">
      <c r="B301" s="9"/>
      <c r="C301" s="6"/>
      <c r="D301" s="10"/>
      <c r="E301" s="10"/>
      <c r="F301" s="10"/>
      <c r="G301" s="10"/>
      <c r="H301" s="109"/>
      <c r="I301" s="109"/>
      <c r="J301" s="109"/>
      <c r="K301" s="109"/>
      <c r="L301" s="109"/>
      <c r="M301" s="109"/>
      <c r="N301" s="109"/>
      <c r="O301" s="42"/>
    </row>
    <row r="302" spans="2:15" s="5" customFormat="1" ht="15" customHeight="1" outlineLevel="1">
      <c r="B302" s="50" t="s">
        <v>196</v>
      </c>
      <c r="C302" s="6"/>
      <c r="D302" s="10"/>
      <c r="E302" s="10"/>
      <c r="F302" s="10"/>
      <c r="G302" s="10"/>
      <c r="H302" s="109"/>
      <c r="I302" s="109"/>
      <c r="J302" s="109"/>
      <c r="K302" s="109"/>
      <c r="L302" s="109"/>
      <c r="M302" s="109"/>
      <c r="N302" s="109"/>
      <c r="O302" s="42"/>
    </row>
    <row r="303" spans="2:15" s="5" customFormat="1" ht="15" customHeight="1" outlineLevel="1">
      <c r="B303" s="280" t="s">
        <v>10</v>
      </c>
      <c r="C303" s="6"/>
      <c r="D303" s="10"/>
      <c r="E303" s="10"/>
      <c r="F303" s="10"/>
      <c r="G303" s="10"/>
      <c r="H303" s="109"/>
      <c r="I303" s="27">
        <f>H306</f>
        <v>24128</v>
      </c>
      <c r="J303" s="27">
        <f>I306</f>
        <v>12259.448120724997</v>
      </c>
      <c r="K303" s="27">
        <f>J306</f>
        <v>306.28656378180494</v>
      </c>
      <c r="L303" s="27">
        <f>K306</f>
        <v>0</v>
      </c>
      <c r="M303" s="27">
        <f>L306</f>
        <v>0</v>
      </c>
      <c r="N303" s="27"/>
      <c r="O303" s="42"/>
    </row>
    <row r="304" spans="2:15" s="5" customFormat="1" ht="15" customHeight="1" outlineLevel="1">
      <c r="B304" s="280" t="s">
        <v>49</v>
      </c>
      <c r="C304" s="6"/>
      <c r="D304" s="10"/>
      <c r="E304" s="10"/>
      <c r="F304" s="10"/>
      <c r="G304" s="10"/>
      <c r="H304" s="109"/>
      <c r="I304" s="27">
        <f>-MIN(I292,0)</f>
        <v>0</v>
      </c>
      <c r="J304" s="27">
        <f>-MIN(J292,0)</f>
        <v>0</v>
      </c>
      <c r="K304" s="27">
        <f>-MIN(K292,0)</f>
        <v>0</v>
      </c>
      <c r="L304" s="27">
        <f>-MIN(L292,0)</f>
        <v>0</v>
      </c>
      <c r="M304" s="27">
        <f>-MIN(M292,0)</f>
        <v>0</v>
      </c>
      <c r="N304" s="27"/>
      <c r="O304" s="42"/>
    </row>
    <row r="305" spans="2:15" s="5" customFormat="1" ht="15" customHeight="1" outlineLevel="1">
      <c r="B305" s="280" t="s">
        <v>61</v>
      </c>
      <c r="C305" s="6"/>
      <c r="D305" s="10"/>
      <c r="E305" s="10"/>
      <c r="F305" s="10"/>
      <c r="G305" s="10"/>
      <c r="H305" s="177"/>
      <c r="I305" s="28">
        <f>-MIN(I303,I298)*I285</f>
        <v>-11868.551879275003</v>
      </c>
      <c r="J305" s="28">
        <f>-MIN(J303,J298)*J285</f>
        <v>-11953.161556943192</v>
      </c>
      <c r="K305" s="28">
        <f>-MIN(K303,K298)*K285</f>
        <v>-306.28656378180494</v>
      </c>
      <c r="L305" s="28">
        <f>-MIN(L303,L298)*L285</f>
        <v>0</v>
      </c>
      <c r="M305" s="28">
        <f>-MIN(M303,M298)*M285</f>
        <v>0</v>
      </c>
      <c r="N305" s="27"/>
      <c r="O305" s="42"/>
    </row>
    <row r="306" spans="2:15" s="5" customFormat="1" ht="15" customHeight="1" outlineLevel="1">
      <c r="B306" s="280" t="s">
        <v>11</v>
      </c>
      <c r="C306" s="6"/>
      <c r="D306" s="10"/>
      <c r="E306" s="10"/>
      <c r="F306" s="10"/>
      <c r="G306" s="10"/>
      <c r="H306" s="27">
        <f>H264</f>
        <v>24128</v>
      </c>
      <c r="I306" s="27">
        <f>SUM(I303:I305)</f>
        <v>12259.448120724997</v>
      </c>
      <c r="J306" s="27">
        <f>SUM(J303:J305)</f>
        <v>306.28656378180494</v>
      </c>
      <c r="K306" s="27">
        <f>SUM(K303:K305)</f>
        <v>0</v>
      </c>
      <c r="L306" s="27">
        <f>SUM(L303:L305)</f>
        <v>0</v>
      </c>
      <c r="M306" s="27">
        <f>SUM(M303:M305)</f>
        <v>0</v>
      </c>
      <c r="N306" s="27"/>
      <c r="O306" s="39"/>
    </row>
    <row r="307" spans="2:15" s="5" customFormat="1" ht="15" customHeight="1" outlineLevel="1">
      <c r="B307" s="9"/>
      <c r="C307" s="6"/>
      <c r="D307" s="10"/>
      <c r="E307" s="10"/>
      <c r="F307" s="10"/>
      <c r="G307" s="10"/>
      <c r="H307" s="109"/>
      <c r="I307" s="109"/>
      <c r="J307" s="109"/>
      <c r="K307" s="109"/>
      <c r="L307" s="109"/>
      <c r="M307" s="109"/>
      <c r="N307" s="109"/>
      <c r="O307" s="42"/>
    </row>
    <row r="308" spans="2:15" s="5" customFormat="1" ht="15" customHeight="1" outlineLevel="1">
      <c r="B308" s="47"/>
      <c r="C308" s="48"/>
      <c r="D308" s="49"/>
      <c r="E308" s="49"/>
      <c r="F308" s="49"/>
      <c r="G308" s="49"/>
      <c r="H308" s="178"/>
      <c r="I308" s="178"/>
      <c r="J308" s="178"/>
      <c r="K308" s="178"/>
      <c r="L308" s="178"/>
      <c r="M308" s="178"/>
      <c r="N308" s="188"/>
      <c r="O308" s="42"/>
    </row>
    <row r="309" spans="2:15" s="5" customFormat="1" ht="15" customHeight="1" outlineLevel="1">
      <c r="B309" s="9"/>
      <c r="C309" s="6"/>
      <c r="D309" s="10"/>
      <c r="E309" s="10"/>
      <c r="F309" s="10"/>
      <c r="G309" s="10"/>
      <c r="H309" s="109"/>
      <c r="I309" s="109"/>
      <c r="J309" s="109"/>
      <c r="K309" s="109"/>
      <c r="L309" s="109"/>
      <c r="M309" s="109"/>
      <c r="N309" s="109"/>
      <c r="O309" s="42"/>
    </row>
    <row r="310" spans="2:15" s="5" customFormat="1" ht="15" customHeight="1" outlineLevel="1">
      <c r="B310" s="50" t="s">
        <v>197</v>
      </c>
      <c r="C310" s="6"/>
      <c r="D310" s="10"/>
      <c r="E310" s="10"/>
      <c r="F310" s="10"/>
      <c r="G310" s="10"/>
      <c r="H310" s="109"/>
      <c r="I310" s="109"/>
      <c r="J310" s="109"/>
      <c r="K310" s="109"/>
      <c r="L310" s="109"/>
      <c r="M310" s="109"/>
      <c r="N310" s="109"/>
      <c r="O310" s="42"/>
    </row>
    <row r="311" spans="2:15" s="5" customFormat="1" ht="15" customHeight="1" outlineLevel="1">
      <c r="B311" s="280" t="s">
        <v>50</v>
      </c>
      <c r="C311" s="6"/>
      <c r="D311" s="10"/>
      <c r="E311" s="10"/>
      <c r="F311" s="18"/>
      <c r="G311" s="18"/>
      <c r="H311" s="27"/>
      <c r="I311" s="27">
        <f>$D$287*I300</f>
        <v>0</v>
      </c>
      <c r="J311" s="27">
        <f>$D$287*J300</f>
        <v>0</v>
      </c>
      <c r="K311" s="27">
        <f>$D$287*K300</f>
        <v>3333.1220114751663</v>
      </c>
      <c r="L311" s="27">
        <f>$D$287*L300</f>
        <v>3304.1518046264591</v>
      </c>
      <c r="M311" s="27">
        <f>$D$287*M300</f>
        <v>3168.7371155173364</v>
      </c>
      <c r="N311" s="27"/>
      <c r="O311" s="39"/>
    </row>
    <row r="312" spans="2:15" s="5" customFormat="1" ht="15" customHeight="1" outlineLevel="1">
      <c r="B312" s="280" t="s">
        <v>51</v>
      </c>
      <c r="C312" s="6"/>
      <c r="D312" s="10"/>
      <c r="E312" s="10"/>
      <c r="F312" s="10"/>
      <c r="G312" s="10"/>
      <c r="H312" s="109"/>
      <c r="I312" s="27">
        <f>I313-I311</f>
        <v>4181.0480637825003</v>
      </c>
      <c r="J312" s="27">
        <f>J313-J311</f>
        <v>4077.8817170829575</v>
      </c>
      <c r="K312" s="27">
        <f>K313-K311</f>
        <v>469.0773566345415</v>
      </c>
      <c r="L312" s="27">
        <f>L313-L311</f>
        <v>272.23580437500004</v>
      </c>
      <c r="M312" s="27">
        <f>M313-M311</f>
        <v>173.76105871875052</v>
      </c>
      <c r="N312" s="27"/>
      <c r="O312" s="39"/>
    </row>
    <row r="313" spans="2:15" s="5" customFormat="1" ht="15" customHeight="1" outlineLevel="1" thickBot="1">
      <c r="B313" s="280" t="s">
        <v>52</v>
      </c>
      <c r="C313" s="6"/>
      <c r="D313" s="10"/>
      <c r="E313" s="10"/>
      <c r="F313" s="10"/>
      <c r="G313" s="10"/>
      <c r="H313" s="109"/>
      <c r="I313" s="407">
        <f>MAX($D$287*I292,0)</f>
        <v>4181.0480637825003</v>
      </c>
      <c r="J313" s="407">
        <f>MAX($D$287*J292,0)</f>
        <v>4077.8817170829575</v>
      </c>
      <c r="K313" s="407">
        <f>MAX($D$287*K292,0)</f>
        <v>3802.1993681097078</v>
      </c>
      <c r="L313" s="407">
        <f>MAX($D$287*L292,0)</f>
        <v>3576.3876090014592</v>
      </c>
      <c r="M313" s="407">
        <f>MAX($D$287*M292,0)</f>
        <v>3342.4981742360869</v>
      </c>
      <c r="N313" s="27"/>
      <c r="O313" s="39"/>
    </row>
    <row r="314" spans="2:15" s="5" customFormat="1" ht="15" customHeight="1" outlineLevel="1">
      <c r="B314" s="9"/>
      <c r="C314" s="6"/>
      <c r="D314" s="10"/>
      <c r="E314" s="10"/>
      <c r="F314" s="10"/>
      <c r="G314" s="10"/>
      <c r="H314" s="10"/>
      <c r="I314" s="37"/>
      <c r="J314" s="37"/>
      <c r="K314" s="37"/>
      <c r="L314" s="37"/>
      <c r="M314" s="37"/>
      <c r="O314" s="39"/>
    </row>
    <row r="315" spans="2:15" s="5" customFormat="1" ht="15" customHeight="1" outlineLevel="1">
      <c r="B315" s="9"/>
      <c r="C315" s="6"/>
      <c r="D315" s="10"/>
      <c r="E315" s="10"/>
      <c r="F315" s="10"/>
      <c r="G315" s="10"/>
      <c r="H315" s="10"/>
      <c r="I315" s="37"/>
      <c r="J315" s="37"/>
      <c r="K315" s="37"/>
      <c r="L315" s="37"/>
      <c r="M315" s="37"/>
      <c r="O315" s="39"/>
    </row>
    <row r="316" spans="2:15" s="5" customFormat="1" ht="15" customHeight="1" outlineLevel="1">
      <c r="C316" s="6"/>
      <c r="D316" s="10"/>
      <c r="E316" s="10"/>
      <c r="F316" s="10"/>
      <c r="G316" s="10"/>
      <c r="H316" s="10"/>
      <c r="I316" s="37"/>
      <c r="J316" s="37"/>
      <c r="K316" s="37"/>
      <c r="L316" s="37"/>
      <c r="M316" s="255" t="s">
        <v>216</v>
      </c>
      <c r="O316" s="39"/>
    </row>
    <row r="317" spans="2:15" s="5" customFormat="1" ht="15" customHeight="1" outlineLevel="1">
      <c r="C317" s="6"/>
      <c r="D317" s="10"/>
      <c r="E317" s="10"/>
      <c r="F317" s="10"/>
      <c r="G317" s="10"/>
      <c r="H317" s="10"/>
      <c r="I317" s="37"/>
      <c r="J317" s="37"/>
      <c r="K317" s="37"/>
      <c r="L317" s="37"/>
      <c r="M317" s="256" t="s">
        <v>217</v>
      </c>
      <c r="O317" s="39"/>
    </row>
    <row r="318" spans="2:15" s="5" customFormat="1" ht="15" customHeight="1" outlineLevel="1">
      <c r="C318" s="6"/>
      <c r="D318" s="10"/>
      <c r="E318" s="10"/>
      <c r="F318" s="10"/>
      <c r="G318" s="10"/>
      <c r="H318" s="10"/>
      <c r="I318" s="37"/>
      <c r="J318" s="37"/>
      <c r="K318" s="37"/>
      <c r="L318" s="37"/>
      <c r="M318" s="121"/>
      <c r="O318" s="39"/>
    </row>
    <row r="319" spans="2:15" s="5" customFormat="1" ht="15" customHeight="1" outlineLevel="1">
      <c r="B319" s="29"/>
      <c r="C319" s="30"/>
      <c r="D319" s="31"/>
      <c r="E319" s="31"/>
      <c r="F319" s="31"/>
      <c r="G319" s="31"/>
      <c r="H319" s="31"/>
      <c r="I319" s="43"/>
      <c r="J319" s="43"/>
      <c r="K319" s="43"/>
      <c r="L319" s="43"/>
      <c r="M319" s="43"/>
      <c r="N319" s="43"/>
      <c r="O319" s="42"/>
    </row>
    <row r="320" spans="2:15" s="5" customFormat="1" ht="15" customHeight="1">
      <c r="B320" s="9"/>
      <c r="C320" s="6"/>
      <c r="D320" s="10"/>
      <c r="E320" s="10"/>
      <c r="F320" s="10"/>
      <c r="G320" s="10"/>
      <c r="H320" s="10"/>
      <c r="I320" s="37"/>
      <c r="J320" s="37"/>
      <c r="K320" s="37"/>
      <c r="L320" s="37"/>
      <c r="M320" s="37"/>
      <c r="N320" s="37"/>
      <c r="O320" s="42"/>
    </row>
    <row r="321" spans="1:15" s="5" customFormat="1" ht="15" customHeight="1">
      <c r="A321" s="5" t="s">
        <v>151</v>
      </c>
      <c r="B321" s="505" t="s">
        <v>82</v>
      </c>
      <c r="C321" s="489"/>
      <c r="D321" s="578"/>
      <c r="E321" s="578"/>
      <c r="F321" s="491"/>
      <c r="G321" s="491"/>
      <c r="H321" s="491"/>
      <c r="I321" s="579"/>
      <c r="J321" s="580"/>
      <c r="K321" s="580"/>
      <c r="L321" s="580"/>
      <c r="M321" s="580"/>
      <c r="N321" s="566"/>
      <c r="O321" s="39"/>
    </row>
    <row r="322" spans="1:15" s="5" customFormat="1" ht="15" customHeight="1" outlineLevel="1">
      <c r="B322" s="506"/>
      <c r="C322" s="6"/>
      <c r="D322" s="7"/>
      <c r="E322" s="7"/>
      <c r="F322" s="8"/>
      <c r="G322" s="8"/>
      <c r="H322" s="8"/>
      <c r="I322" s="8"/>
      <c r="J322" s="8"/>
      <c r="K322" s="8"/>
      <c r="L322" s="8"/>
      <c r="M322" s="8"/>
      <c r="N322" s="8"/>
      <c r="O322" s="57"/>
    </row>
    <row r="323" spans="1:15" s="5" customFormat="1" ht="15" customHeight="1" outlineLevel="1" thickBot="1">
      <c r="B323" s="9" t="s">
        <v>22</v>
      </c>
      <c r="C323" s="6"/>
      <c r="D323" s="10"/>
      <c r="E323" s="10"/>
      <c r="F323" s="8"/>
      <c r="G323" s="8"/>
      <c r="H323" s="8"/>
      <c r="I323" s="87">
        <f t="shared" ref="I323:N323" si="67">I$5</f>
        <v>2023</v>
      </c>
      <c r="J323" s="87">
        <f t="shared" si="67"/>
        <v>2024</v>
      </c>
      <c r="K323" s="87">
        <f t="shared" si="67"/>
        <v>2025</v>
      </c>
      <c r="L323" s="87">
        <f t="shared" si="67"/>
        <v>2026</v>
      </c>
      <c r="M323" s="87">
        <f t="shared" si="67"/>
        <v>2027</v>
      </c>
      <c r="N323" s="87" t="str">
        <f t="shared" si="67"/>
        <v>Term</v>
      </c>
    </row>
    <row r="324" spans="1:15" ht="15" customHeight="1" outlineLevel="1">
      <c r="A324" s="11"/>
      <c r="B324" s="9" t="str">
        <f>$B$6</f>
        <v>Model Running: Worst Case Drivers</v>
      </c>
      <c r="C324" s="6"/>
      <c r="D324" s="10"/>
      <c r="E324" s="10"/>
      <c r="F324" s="10"/>
      <c r="G324" s="10"/>
      <c r="H324" s="10"/>
      <c r="I324" s="37"/>
      <c r="J324" s="37"/>
      <c r="K324" s="37"/>
      <c r="L324" s="37"/>
      <c r="M324" s="37"/>
      <c r="N324" s="37"/>
    </row>
    <row r="325" spans="1:15" s="5" customFormat="1" ht="15" customHeight="1" outlineLevel="1">
      <c r="B325" s="9"/>
      <c r="C325" s="6"/>
      <c r="D325" s="10"/>
      <c r="E325" s="10"/>
      <c r="F325" s="10"/>
      <c r="G325" s="10"/>
      <c r="H325" s="10"/>
      <c r="I325" s="88"/>
      <c r="J325" s="88"/>
      <c r="K325" s="88"/>
      <c r="L325" s="88"/>
      <c r="M325" s="88"/>
      <c r="N325" s="88"/>
    </row>
    <row r="326" spans="1:15" s="5" customFormat="1" ht="15" customHeight="1" outlineLevel="1">
      <c r="B326" s="50" t="s">
        <v>198</v>
      </c>
      <c r="C326" s="6"/>
      <c r="D326" s="10"/>
      <c r="E326" s="50"/>
      <c r="F326" s="50" t="s">
        <v>234</v>
      </c>
      <c r="G326" s="109" t="s">
        <v>85</v>
      </c>
      <c r="H326" s="10"/>
      <c r="I326" s="37"/>
      <c r="J326" s="37"/>
      <c r="K326" s="37"/>
      <c r="L326" s="37"/>
      <c r="M326" s="37"/>
      <c r="N326" s="37"/>
    </row>
    <row r="327" spans="1:15" s="5" customFormat="1" ht="15" customHeight="1" outlineLevel="1">
      <c r="B327" s="280" t="s">
        <v>124</v>
      </c>
      <c r="C327" s="6"/>
      <c r="D327" s="10"/>
      <c r="E327" s="10"/>
      <c r="F327" s="131" t="s">
        <v>42</v>
      </c>
      <c r="G327" s="173">
        <f>N114</f>
        <v>10509.448525361458</v>
      </c>
      <c r="H327" s="18"/>
      <c r="I327" s="27">
        <f>I311</f>
        <v>0</v>
      </c>
      <c r="J327" s="27">
        <f>J311</f>
        <v>0</v>
      </c>
      <c r="K327" s="27">
        <f>K311</f>
        <v>3333.1220114751663</v>
      </c>
      <c r="L327" s="27">
        <f>L311</f>
        <v>3304.1518046264591</v>
      </c>
      <c r="M327" s="27">
        <f>M311</f>
        <v>3168.7371155173364</v>
      </c>
      <c r="N327" s="128">
        <f>G327*$G$329</f>
        <v>3152.8345576084375</v>
      </c>
    </row>
    <row r="328" spans="1:15" s="5" customFormat="1" ht="15" customHeight="1" outlineLevel="1">
      <c r="B328" s="280" t="s">
        <v>123</v>
      </c>
      <c r="C328" s="6"/>
      <c r="D328" s="10"/>
      <c r="E328" s="10"/>
      <c r="F328" s="351" t="s">
        <v>34</v>
      </c>
      <c r="G328" s="174">
        <f>N117</f>
        <v>7989.4485253614585</v>
      </c>
      <c r="H328" s="18"/>
      <c r="I328" s="27">
        <f>I269</f>
        <v>0</v>
      </c>
      <c r="J328" s="27">
        <f t="shared" ref="J328:M328" si="68">J269</f>
        <v>0</v>
      </c>
      <c r="K328" s="27">
        <f t="shared" si="68"/>
        <v>1065.1220114751661</v>
      </c>
      <c r="L328" s="27">
        <f t="shared" si="68"/>
        <v>2548.1518046264591</v>
      </c>
      <c r="M328" s="27">
        <f t="shared" si="68"/>
        <v>2412.7371155173364</v>
      </c>
      <c r="N328" s="84">
        <f>G328*$G$329</f>
        <v>2396.8345576084375</v>
      </c>
    </row>
    <row r="329" spans="1:15" s="5" customFormat="1" ht="15" customHeight="1" outlineLevel="1">
      <c r="B329" s="280" t="s">
        <v>133</v>
      </c>
      <c r="C329" s="7"/>
      <c r="D329" s="147"/>
      <c r="E329" s="147"/>
      <c r="F329" s="58" t="s">
        <v>53</v>
      </c>
      <c r="G329" s="164">
        <f>$C$101</f>
        <v>0.3</v>
      </c>
      <c r="H329" s="18"/>
      <c r="I329" s="127">
        <f>I327-I328</f>
        <v>0</v>
      </c>
      <c r="J329" s="127">
        <f t="shared" ref="J329:M329" si="69">J327-J328</f>
        <v>0</v>
      </c>
      <c r="K329" s="127">
        <f t="shared" si="69"/>
        <v>2268</v>
      </c>
      <c r="L329" s="127">
        <f t="shared" si="69"/>
        <v>756</v>
      </c>
      <c r="M329" s="127">
        <f t="shared" si="69"/>
        <v>756</v>
      </c>
      <c r="N329" s="108">
        <f>N327-N328</f>
        <v>756</v>
      </c>
    </row>
    <row r="330" spans="1:15" s="5" customFormat="1" ht="15" customHeight="1" outlineLevel="1">
      <c r="B330" s="9"/>
      <c r="C330" s="6"/>
      <c r="D330" s="10"/>
      <c r="E330" s="10"/>
      <c r="F330" s="95"/>
      <c r="G330" s="95"/>
      <c r="H330" s="95"/>
      <c r="I330" s="254"/>
      <c r="J330" s="254"/>
      <c r="K330" s="254"/>
      <c r="L330" s="254"/>
      <c r="M330" s="254"/>
      <c r="N330" s="254"/>
    </row>
    <row r="331" spans="1:15" s="5" customFormat="1" ht="15" customHeight="1" outlineLevel="1">
      <c r="B331" s="9"/>
      <c r="C331" s="6"/>
      <c r="D331" s="10"/>
      <c r="E331" s="10"/>
      <c r="F331" s="10"/>
      <c r="G331" s="10"/>
      <c r="H331" s="10"/>
      <c r="I331" s="37"/>
      <c r="J331" s="37"/>
      <c r="K331" s="37"/>
      <c r="L331" s="37"/>
      <c r="M331" s="37"/>
      <c r="N331" s="37"/>
    </row>
    <row r="332" spans="1:15" s="5" customFormat="1" ht="15" customHeight="1" outlineLevel="1">
      <c r="B332" s="29"/>
      <c r="C332" s="30"/>
      <c r="D332" s="31"/>
      <c r="E332" s="31"/>
      <c r="F332" s="31"/>
      <c r="G332" s="31"/>
      <c r="H332" s="31"/>
      <c r="I332" s="43"/>
      <c r="J332" s="43"/>
      <c r="K332" s="43"/>
      <c r="L332" s="43"/>
      <c r="M332" s="43"/>
      <c r="N332" s="43"/>
    </row>
    <row r="333" spans="1:15" s="5" customFormat="1" ht="15" customHeight="1" outlineLevel="1">
      <c r="B333" s="9"/>
      <c r="C333" s="6"/>
      <c r="D333" s="10"/>
      <c r="E333" s="10"/>
      <c r="F333" s="10"/>
      <c r="G333" s="10"/>
      <c r="H333" s="10"/>
      <c r="I333" s="37"/>
      <c r="J333" s="37"/>
      <c r="K333" s="37"/>
      <c r="L333" s="37"/>
      <c r="M333" s="37"/>
      <c r="N333" s="37"/>
    </row>
    <row r="334" spans="1:15" s="5" customFormat="1" ht="15" customHeight="1" outlineLevel="1">
      <c r="B334" s="50" t="s">
        <v>199</v>
      </c>
      <c r="D334" s="588"/>
      <c r="E334" s="10"/>
      <c r="F334" s="10"/>
      <c r="G334" s="10"/>
      <c r="H334" s="10"/>
    </row>
    <row r="335" spans="1:15" s="5" customFormat="1" ht="15" customHeight="1" outlineLevel="1">
      <c r="B335" s="280" t="s">
        <v>40</v>
      </c>
      <c r="C335" s="6"/>
      <c r="D335" s="10"/>
      <c r="E335" s="10"/>
      <c r="F335" s="99"/>
      <c r="G335" s="18"/>
      <c r="H335" s="18"/>
      <c r="I335" s="27">
        <f t="shared" ref="I335:N335" si="70">I110</f>
        <v>18125.201879275002</v>
      </c>
      <c r="J335" s="27">
        <f t="shared" si="70"/>
        <v>18036.314056943193</v>
      </c>
      <c r="K335" s="27">
        <f t="shared" si="70"/>
        <v>17382.372893699026</v>
      </c>
      <c r="L335" s="27">
        <f t="shared" si="70"/>
        <v>16902.167030004865</v>
      </c>
      <c r="M335" s="27">
        <f t="shared" si="70"/>
        <v>16400.035580786956</v>
      </c>
      <c r="N335" s="128">
        <f t="shared" si="70"/>
        <v>16309.448525361458</v>
      </c>
    </row>
    <row r="336" spans="1:15" s="5" customFormat="1" ht="15" customHeight="1" outlineLevel="1">
      <c r="B336" s="280" t="s">
        <v>50</v>
      </c>
      <c r="C336" s="6"/>
      <c r="D336" s="10"/>
      <c r="E336" s="10"/>
      <c r="F336" s="99"/>
      <c r="G336" s="18"/>
      <c r="H336" s="18"/>
      <c r="I336" s="27">
        <f t="shared" ref="I336:N336" si="71">-I327</f>
        <v>0</v>
      </c>
      <c r="J336" s="27">
        <f t="shared" si="71"/>
        <v>0</v>
      </c>
      <c r="K336" s="27">
        <f t="shared" si="71"/>
        <v>-3333.1220114751663</v>
      </c>
      <c r="L336" s="27">
        <f t="shared" si="71"/>
        <v>-3304.1518046264591</v>
      </c>
      <c r="M336" s="27">
        <f t="shared" si="71"/>
        <v>-3168.7371155173364</v>
      </c>
      <c r="N336" s="84">
        <f t="shared" si="71"/>
        <v>-3152.8345576084375</v>
      </c>
    </row>
    <row r="337" spans="2:14" s="5" customFormat="1" ht="15" customHeight="1" outlineLevel="1">
      <c r="B337" s="280" t="s">
        <v>56</v>
      </c>
      <c r="C337" s="6"/>
      <c r="D337" s="10"/>
      <c r="E337" s="10"/>
      <c r="F337" s="18"/>
      <c r="G337" s="18"/>
      <c r="H337" s="18"/>
      <c r="I337" s="27">
        <f>-Inputs!G24</f>
        <v>-5000</v>
      </c>
      <c r="J337" s="27">
        <f>-Inputs!H24</f>
        <v>-5200</v>
      </c>
      <c r="K337" s="27">
        <f>-Inputs!I24</f>
        <v>-5400</v>
      </c>
      <c r="L337" s="27">
        <f>-Inputs!J24</f>
        <v>-5500</v>
      </c>
      <c r="M337" s="27">
        <f>-Inputs!K24</f>
        <v>-5600</v>
      </c>
      <c r="N337" s="84">
        <f>-Inputs!L24</f>
        <v>-5800</v>
      </c>
    </row>
    <row r="338" spans="2:14" s="5" customFormat="1" ht="15" customHeight="1" outlineLevel="1">
      <c r="B338" s="280" t="s">
        <v>9</v>
      </c>
      <c r="C338" s="6"/>
      <c r="D338" s="10"/>
      <c r="E338" s="10"/>
      <c r="F338" s="18"/>
      <c r="G338" s="18"/>
      <c r="H338" s="18"/>
      <c r="I338" s="27">
        <f t="shared" ref="I338:N338" si="72">I155</f>
        <v>-452.62629952773932</v>
      </c>
      <c r="J338" s="27">
        <f t="shared" si="72"/>
        <v>-100.72464854768805</v>
      </c>
      <c r="K338" s="27">
        <f t="shared" si="72"/>
        <v>-31.664835074559051</v>
      </c>
      <c r="L338" s="27">
        <f t="shared" si="72"/>
        <v>-37.762647011185436</v>
      </c>
      <c r="M338" s="27">
        <f t="shared" si="72"/>
        <v>-37.576024346563827</v>
      </c>
      <c r="N338" s="84">
        <f t="shared" si="72"/>
        <v>-51.340532640265337</v>
      </c>
    </row>
    <row r="339" spans="2:14" ht="15" customHeight="1" outlineLevel="1" thickBot="1">
      <c r="B339" s="280" t="s">
        <v>83</v>
      </c>
      <c r="C339" s="7"/>
      <c r="D339" s="147"/>
      <c r="E339" s="147"/>
      <c r="F339" s="18"/>
      <c r="G339" s="18"/>
      <c r="H339" s="18"/>
      <c r="I339" s="407">
        <f>SUM(I335:I338)</f>
        <v>12672.575579747263</v>
      </c>
      <c r="J339" s="407">
        <f>SUM(J335:J338)</f>
        <v>12735.589408395505</v>
      </c>
      <c r="K339" s="407">
        <f t="shared" ref="K339:N339" si="73">SUM(K335:K338)</f>
        <v>8617.5860471492997</v>
      </c>
      <c r="L339" s="407">
        <f>SUM(L335:L338)</f>
        <v>8060.2525783672199</v>
      </c>
      <c r="M339" s="407">
        <f t="shared" si="73"/>
        <v>7593.7224409230557</v>
      </c>
      <c r="N339" s="408">
        <f t="shared" si="73"/>
        <v>7305.2734351127556</v>
      </c>
    </row>
    <row r="340" spans="2:14" ht="15" customHeight="1" outlineLevel="1">
      <c r="N340" s="204"/>
    </row>
    <row r="341" spans="2:14" ht="15" customHeight="1" outlineLevel="1"/>
    <row r="342" spans="2:14" s="5" customFormat="1" ht="15" customHeight="1" outlineLevel="1">
      <c r="B342" s="50" t="s">
        <v>200</v>
      </c>
      <c r="D342" s="588"/>
      <c r="E342" s="10"/>
      <c r="F342" s="10"/>
      <c r="G342" s="10"/>
      <c r="H342" s="10"/>
      <c r="N342" s="210"/>
    </row>
    <row r="343" spans="2:14" s="5" customFormat="1" ht="15" customHeight="1" outlineLevel="1">
      <c r="B343" s="280" t="s">
        <v>46</v>
      </c>
      <c r="C343" s="6"/>
      <c r="D343" s="10"/>
      <c r="E343" s="10"/>
      <c r="F343" s="18"/>
      <c r="G343" s="18"/>
      <c r="H343" s="18"/>
      <c r="I343" s="27">
        <f t="shared" ref="I343:N343" si="74">I123</f>
        <v>7991.778815492502</v>
      </c>
      <c r="J343" s="27">
        <f t="shared" si="74"/>
        <v>7751.0573398602355</v>
      </c>
      <c r="K343" s="27">
        <f t="shared" si="74"/>
        <v>7107.7985255893182</v>
      </c>
      <c r="L343" s="27">
        <f t="shared" si="74"/>
        <v>6580.9044210034053</v>
      </c>
      <c r="M343" s="27">
        <f t="shared" si="74"/>
        <v>6035.1624065508695</v>
      </c>
      <c r="N343" s="128">
        <f t="shared" si="74"/>
        <v>5592.6139677530209</v>
      </c>
    </row>
    <row r="344" spans="2:14" s="5" customFormat="1" ht="15" customHeight="1" outlineLevel="1">
      <c r="B344" s="280" t="s">
        <v>267</v>
      </c>
      <c r="C344" s="6"/>
      <c r="D344" s="10"/>
      <c r="E344" s="10"/>
      <c r="F344" s="18"/>
      <c r="G344" s="18"/>
      <c r="H344" s="18"/>
      <c r="I344" s="27">
        <f>I113</f>
        <v>4188.375</v>
      </c>
      <c r="J344" s="27">
        <f t="shared" ref="J344:N344" si="75">J113</f>
        <v>4443.375</v>
      </c>
      <c r="K344" s="27">
        <f t="shared" si="75"/>
        <v>4708.375</v>
      </c>
      <c r="L344" s="27">
        <f t="shared" si="75"/>
        <v>4980.875</v>
      </c>
      <c r="M344" s="27">
        <f t="shared" si="75"/>
        <v>5258.375</v>
      </c>
      <c r="N344" s="84">
        <f t="shared" si="75"/>
        <v>5800</v>
      </c>
    </row>
    <row r="345" spans="2:14" s="5" customFormat="1" ht="15" customHeight="1" outlineLevel="1">
      <c r="B345" s="280" t="s">
        <v>268</v>
      </c>
      <c r="C345" s="6"/>
      <c r="D345" s="10"/>
      <c r="E345" s="10"/>
      <c r="F345" s="18"/>
      <c r="G345" s="18"/>
      <c r="H345" s="18"/>
      <c r="I345" s="27">
        <f t="shared" ref="I345:N345" si="76">I120</f>
        <v>3425.0480637825008</v>
      </c>
      <c r="J345" s="27">
        <f t="shared" si="76"/>
        <v>3321.8817170829575</v>
      </c>
      <c r="K345" s="27">
        <f t="shared" si="76"/>
        <v>1981.0773566345417</v>
      </c>
      <c r="L345" s="27">
        <f t="shared" si="76"/>
        <v>272.23580437500004</v>
      </c>
      <c r="M345" s="27">
        <f t="shared" si="76"/>
        <v>173.76105871875052</v>
      </c>
      <c r="N345" s="84">
        <f t="shared" si="76"/>
        <v>0</v>
      </c>
    </row>
    <row r="346" spans="2:14" s="5" customFormat="1" ht="15" customHeight="1" outlineLevel="1">
      <c r="B346" s="280" t="s">
        <v>84</v>
      </c>
      <c r="C346" s="6"/>
      <c r="D346" s="10"/>
      <c r="E346" s="10"/>
      <c r="F346" s="18"/>
      <c r="G346" s="18"/>
      <c r="H346" s="18"/>
      <c r="I346" s="27">
        <f>I116</f>
        <v>2520</v>
      </c>
      <c r="J346" s="27">
        <f t="shared" ref="J346:N346" si="77">J116</f>
        <v>2520</v>
      </c>
      <c r="K346" s="27">
        <f t="shared" si="77"/>
        <v>2520</v>
      </c>
      <c r="L346" s="27">
        <f t="shared" si="77"/>
        <v>2520</v>
      </c>
      <c r="M346" s="27">
        <f t="shared" si="77"/>
        <v>2520</v>
      </c>
      <c r="N346" s="84">
        <f t="shared" si="77"/>
        <v>2520</v>
      </c>
    </row>
    <row r="347" spans="2:14" s="5" customFormat="1" ht="15" customHeight="1" outlineLevel="1">
      <c r="B347" s="280" t="s">
        <v>239</v>
      </c>
      <c r="C347" s="6"/>
      <c r="D347" s="10"/>
      <c r="E347" s="10"/>
      <c r="F347" s="18"/>
      <c r="G347" s="18"/>
      <c r="H347" s="18"/>
      <c r="I347" s="27">
        <f>-I329</f>
        <v>0</v>
      </c>
      <c r="J347" s="27">
        <f t="shared" ref="J347:N347" si="78">-J329</f>
        <v>0</v>
      </c>
      <c r="K347" s="27">
        <f t="shared" si="78"/>
        <v>-2268</v>
      </c>
      <c r="L347" s="27">
        <f t="shared" si="78"/>
        <v>-756</v>
      </c>
      <c r="M347" s="27">
        <f t="shared" si="78"/>
        <v>-756</v>
      </c>
      <c r="N347" s="84">
        <f t="shared" si="78"/>
        <v>-756</v>
      </c>
    </row>
    <row r="348" spans="2:14" s="5" customFormat="1" ht="15" customHeight="1" outlineLevel="1">
      <c r="B348" s="280" t="s">
        <v>56</v>
      </c>
      <c r="C348" s="6"/>
      <c r="D348" s="10"/>
      <c r="E348" s="10"/>
      <c r="F348" s="18"/>
      <c r="G348" s="18"/>
      <c r="H348" s="18"/>
      <c r="I348" s="27">
        <f t="shared" ref="I348:N349" si="79">I337</f>
        <v>-5000</v>
      </c>
      <c r="J348" s="27">
        <f t="shared" si="79"/>
        <v>-5200</v>
      </c>
      <c r="K348" s="27">
        <f t="shared" si="79"/>
        <v>-5400</v>
      </c>
      <c r="L348" s="27">
        <f t="shared" si="79"/>
        <v>-5500</v>
      </c>
      <c r="M348" s="27">
        <f t="shared" si="79"/>
        <v>-5600</v>
      </c>
      <c r="N348" s="84">
        <f t="shared" si="79"/>
        <v>-5800</v>
      </c>
    </row>
    <row r="349" spans="2:14" s="5" customFormat="1" ht="15" customHeight="1" outlineLevel="1">
      <c r="B349" s="280" t="s">
        <v>9</v>
      </c>
      <c r="C349" s="6"/>
      <c r="D349" s="10"/>
      <c r="E349" s="10"/>
      <c r="F349" s="18"/>
      <c r="G349" s="18"/>
      <c r="H349" s="18"/>
      <c r="I349" s="27">
        <f t="shared" si="79"/>
        <v>-452.62629952773932</v>
      </c>
      <c r="J349" s="27">
        <f t="shared" si="79"/>
        <v>-100.72464854768805</v>
      </c>
      <c r="K349" s="27">
        <f t="shared" si="79"/>
        <v>-31.664835074559051</v>
      </c>
      <c r="L349" s="27">
        <f t="shared" si="79"/>
        <v>-37.762647011185436</v>
      </c>
      <c r="M349" s="27">
        <f t="shared" si="79"/>
        <v>-37.576024346563827</v>
      </c>
      <c r="N349" s="84">
        <f t="shared" si="79"/>
        <v>-51.340532640265337</v>
      </c>
    </row>
    <row r="350" spans="2:14" ht="15" customHeight="1" outlineLevel="1" thickBot="1">
      <c r="B350" s="280" t="s">
        <v>83</v>
      </c>
      <c r="C350" s="7"/>
      <c r="D350" s="147"/>
      <c r="E350" s="147"/>
      <c r="F350" s="18"/>
      <c r="G350" s="18"/>
      <c r="H350" s="18"/>
      <c r="I350" s="407">
        <f>SUM(I343:I349)</f>
        <v>12672.575579747263</v>
      </c>
      <c r="J350" s="407">
        <f t="shared" ref="J350:N350" si="80">SUM(J343:J349)</f>
        <v>12735.589408395505</v>
      </c>
      <c r="K350" s="407">
        <f t="shared" si="80"/>
        <v>8617.5860471492997</v>
      </c>
      <c r="L350" s="407">
        <f t="shared" si="80"/>
        <v>8060.2525783672181</v>
      </c>
      <c r="M350" s="407">
        <f t="shared" si="80"/>
        <v>7593.7224409230557</v>
      </c>
      <c r="N350" s="408">
        <f t="shared" si="80"/>
        <v>7305.2734351127556</v>
      </c>
    </row>
    <row r="351" spans="2:14" ht="15" customHeight="1" outlineLevel="1">
      <c r="N351" s="204"/>
    </row>
    <row r="352" spans="2:14" ht="15" customHeight="1" outlineLevel="1"/>
    <row r="353" spans="1:15" ht="15" customHeight="1" outlineLevel="1">
      <c r="B353" s="283" t="s">
        <v>192</v>
      </c>
      <c r="C353" s="80"/>
      <c r="D353" s="81"/>
      <c r="E353" s="81"/>
      <c r="F353" s="82"/>
      <c r="G353" s="82"/>
      <c r="H353" s="82"/>
      <c r="I353" s="258">
        <f>IF(ROUND(I339-I350,1)=0,0,1)</f>
        <v>0</v>
      </c>
      <c r="J353" s="260">
        <f t="shared" ref="J353:N353" si="81">IF(ROUND(J339-J350,1)=0,0,1)</f>
        <v>0</v>
      </c>
      <c r="K353" s="260">
        <f t="shared" si="81"/>
        <v>0</v>
      </c>
      <c r="L353" s="260">
        <f t="shared" si="81"/>
        <v>0</v>
      </c>
      <c r="M353" s="260">
        <f t="shared" si="81"/>
        <v>0</v>
      </c>
      <c r="N353" s="260">
        <f t="shared" si="81"/>
        <v>0</v>
      </c>
      <c r="O353" s="257"/>
    </row>
    <row r="354" spans="1:15" ht="15" customHeight="1" outlineLevel="1">
      <c r="C354" s="80"/>
      <c r="D354" s="81"/>
      <c r="E354" s="81"/>
      <c r="F354" s="82"/>
      <c r="G354" s="82"/>
      <c r="H354" s="82"/>
      <c r="I354" s="259"/>
      <c r="J354" s="259"/>
      <c r="K354" s="259"/>
      <c r="L354" s="259"/>
      <c r="M354" s="259"/>
      <c r="N354" s="259"/>
    </row>
    <row r="355" spans="1:15" ht="15" customHeight="1" outlineLevel="1">
      <c r="C355" s="80"/>
      <c r="D355" s="81"/>
      <c r="E355" s="81"/>
      <c r="F355" s="82"/>
      <c r="G355" s="82"/>
      <c r="H355" s="82"/>
    </row>
    <row r="356" spans="1:15" s="5" customFormat="1" ht="15" customHeight="1" outlineLevel="1">
      <c r="C356" s="6"/>
      <c r="D356" s="10"/>
      <c r="E356" s="10"/>
      <c r="F356" s="10"/>
      <c r="G356" s="10"/>
      <c r="H356" s="10"/>
      <c r="I356" s="37"/>
      <c r="J356" s="37"/>
      <c r="K356" s="37"/>
      <c r="L356" s="37"/>
      <c r="N356" s="255" t="s">
        <v>218</v>
      </c>
      <c r="O356" s="39"/>
    </row>
    <row r="357" spans="1:15" s="5" customFormat="1" ht="15" customHeight="1" outlineLevel="1">
      <c r="C357" s="6"/>
      <c r="D357" s="10"/>
      <c r="E357" s="10"/>
      <c r="F357" s="10"/>
      <c r="G357" s="10"/>
      <c r="H357" s="10"/>
      <c r="I357" s="37"/>
      <c r="J357" s="37"/>
      <c r="K357" s="37"/>
      <c r="L357" s="37"/>
      <c r="N357" s="256" t="s">
        <v>219</v>
      </c>
      <c r="O357" s="39"/>
    </row>
    <row r="358" spans="1:15" ht="15" customHeight="1" outlineLevel="1"/>
    <row r="359" spans="1:15" s="11" customFormat="1" ht="15" customHeight="1" outlineLevel="1">
      <c r="B359" s="75"/>
      <c r="C359" s="40"/>
      <c r="D359" s="25"/>
      <c r="E359" s="25"/>
      <c r="F359" s="122"/>
      <c r="G359" s="122"/>
      <c r="H359" s="122"/>
      <c r="I359" s="122"/>
      <c r="J359" s="122"/>
      <c r="K359" s="122"/>
      <c r="L359" s="122"/>
      <c r="M359" s="122"/>
      <c r="N359" s="122"/>
      <c r="O359" s="39"/>
    </row>
    <row r="360" spans="1:15" s="5" customFormat="1" ht="15" customHeight="1">
      <c r="B360" s="9"/>
      <c r="C360" s="6"/>
      <c r="D360" s="10"/>
      <c r="E360" s="10"/>
      <c r="F360" s="10"/>
      <c r="G360" s="10"/>
      <c r="H360" s="10"/>
      <c r="I360" s="37"/>
      <c r="J360" s="37"/>
      <c r="K360" s="37"/>
      <c r="L360" s="37"/>
      <c r="M360" s="37"/>
      <c r="N360" s="37"/>
    </row>
    <row r="361" spans="1:15" s="5" customFormat="1" ht="15" customHeight="1">
      <c r="A361" s="5" t="s">
        <v>151</v>
      </c>
      <c r="B361" s="505" t="s">
        <v>208</v>
      </c>
      <c r="C361" s="489"/>
      <c r="D361" s="578"/>
      <c r="E361" s="578"/>
      <c r="F361" s="491"/>
      <c r="G361" s="491"/>
      <c r="H361" s="491"/>
      <c r="I361" s="579"/>
      <c r="J361" s="580"/>
      <c r="K361" s="580"/>
      <c r="L361" s="580"/>
      <c r="M361" s="580"/>
      <c r="N361" s="566"/>
    </row>
    <row r="362" spans="1:15" s="5" customFormat="1" ht="15" customHeight="1" outlineLevel="1">
      <c r="B362" s="506"/>
      <c r="C362" s="6"/>
      <c r="D362" s="7"/>
      <c r="E362" s="7"/>
      <c r="F362" s="8"/>
      <c r="G362" s="8"/>
      <c r="H362" s="8"/>
      <c r="I362" s="8"/>
      <c r="J362" s="8"/>
      <c r="K362" s="8"/>
      <c r="L362" s="8"/>
      <c r="M362" s="8"/>
      <c r="N362" s="8"/>
      <c r="O362" s="57"/>
    </row>
    <row r="363" spans="1:15" s="5" customFormat="1" ht="15" customHeight="1" outlineLevel="1">
      <c r="B363" s="9" t="s">
        <v>22</v>
      </c>
      <c r="C363" s="6"/>
      <c r="D363" s="7"/>
      <c r="E363" s="7"/>
    </row>
    <row r="364" spans="1:15" s="5" customFormat="1" ht="15" customHeight="1" outlineLevel="1">
      <c r="B364" s="9" t="str">
        <f>$B$6</f>
        <v>Model Running: Worst Case Drivers</v>
      </c>
      <c r="E364" s="10"/>
      <c r="F364" s="8"/>
      <c r="G364" s="8"/>
      <c r="H364" s="200" t="s">
        <v>86</v>
      </c>
      <c r="I364" s="201" t="s">
        <v>221</v>
      </c>
      <c r="J364" s="202"/>
      <c r="K364" s="202"/>
      <c r="L364" s="202"/>
      <c r="M364" s="202"/>
      <c r="N364" s="227" t="s">
        <v>85</v>
      </c>
      <c r="O364" s="198"/>
    </row>
    <row r="365" spans="1:15" s="5" customFormat="1" ht="15" customHeight="1" outlineLevel="1">
      <c r="E365" s="10"/>
      <c r="H365" s="196" t="s">
        <v>95</v>
      </c>
      <c r="I365" s="196" t="s">
        <v>95</v>
      </c>
      <c r="J365" s="195" t="s">
        <v>95</v>
      </c>
      <c r="K365" s="195" t="s">
        <v>95</v>
      </c>
      <c r="L365" s="195" t="s">
        <v>95</v>
      </c>
      <c r="M365" s="195" t="s">
        <v>95</v>
      </c>
      <c r="N365" s="228" t="s">
        <v>95</v>
      </c>
      <c r="O365" s="198"/>
    </row>
    <row r="366" spans="1:15" s="5" customFormat="1" ht="15" customHeight="1" outlineLevel="1">
      <c r="B366" s="45" t="s">
        <v>225</v>
      </c>
      <c r="C366" s="316">
        <f>Outputs!$O$12</f>
        <v>0.02</v>
      </c>
      <c r="E366" s="10"/>
      <c r="F366" s="199" t="s">
        <v>170</v>
      </c>
      <c r="H366" s="197">
        <f>Inputs!$F$94</f>
        <v>45016</v>
      </c>
      <c r="I366" s="197">
        <f>Inputs!$F$96</f>
        <v>45291</v>
      </c>
      <c r="J366" s="450">
        <f>EDATE(I366,12)</f>
        <v>45657</v>
      </c>
      <c r="K366" s="450">
        <f t="shared" ref="K366:N367" si="82">EDATE(J366,12)</f>
        <v>46022</v>
      </c>
      <c r="L366" s="450">
        <f t="shared" si="82"/>
        <v>46387</v>
      </c>
      <c r="M366" s="450">
        <f t="shared" si="82"/>
        <v>46752</v>
      </c>
      <c r="N366" s="451">
        <f t="shared" si="82"/>
        <v>47118</v>
      </c>
      <c r="O366" s="198"/>
    </row>
    <row r="367" spans="1:15" s="5" customFormat="1" ht="15" customHeight="1" outlineLevel="1" thickBot="1">
      <c r="B367" s="46" t="s">
        <v>96</v>
      </c>
      <c r="C367" s="273">
        <f>Outputs!$O$13</f>
        <v>9.7429919540151538E-2</v>
      </c>
      <c r="D367" s="7"/>
      <c r="E367" s="7"/>
      <c r="F367" s="199" t="s">
        <v>183</v>
      </c>
      <c r="H367" s="197">
        <f>H366</f>
        <v>45016</v>
      </c>
      <c r="I367" s="197">
        <f>Inputs!$F$95</f>
        <v>45107</v>
      </c>
      <c r="J367" s="450">
        <f>EDATE(I367,12)</f>
        <v>45473</v>
      </c>
      <c r="K367" s="450">
        <f t="shared" si="82"/>
        <v>45838</v>
      </c>
      <c r="L367" s="450">
        <f t="shared" si="82"/>
        <v>46203</v>
      </c>
      <c r="M367" s="450">
        <f t="shared" si="82"/>
        <v>46568</v>
      </c>
      <c r="N367" s="452">
        <f t="shared" si="82"/>
        <v>46934</v>
      </c>
      <c r="O367" s="198"/>
    </row>
    <row r="368" spans="1:15" s="5" customFormat="1" ht="15" customHeight="1" outlineLevel="1">
      <c r="B368" s="506"/>
      <c r="C368" s="6"/>
      <c r="D368" s="7"/>
      <c r="E368" s="7"/>
      <c r="F368" s="8"/>
      <c r="G368" s="8"/>
      <c r="H368" s="453"/>
      <c r="I368" s="453"/>
      <c r="J368" s="453"/>
      <c r="K368" s="453"/>
      <c r="L368" s="453"/>
      <c r="M368" s="453"/>
      <c r="N368" s="453"/>
      <c r="O368" s="57"/>
    </row>
    <row r="369" spans="2:15" s="5" customFormat="1" ht="15" customHeight="1" outlineLevel="1">
      <c r="B369" s="44" t="s">
        <v>83</v>
      </c>
      <c r="D369" s="10"/>
      <c r="E369" s="10"/>
      <c r="F369" s="18"/>
      <c r="G369" s="18"/>
      <c r="H369" s="267">
        <v>0</v>
      </c>
      <c r="I369" s="455">
        <f>I$350</f>
        <v>12672.575579747263</v>
      </c>
      <c r="J369" s="455">
        <f t="shared" ref="J369:M369" si="83">J$350</f>
        <v>12735.589408395505</v>
      </c>
      <c r="K369" s="455">
        <f t="shared" si="83"/>
        <v>8617.5860471492997</v>
      </c>
      <c r="L369" s="455">
        <f t="shared" si="83"/>
        <v>8060.2525783672181</v>
      </c>
      <c r="M369" s="455">
        <f t="shared" si="83"/>
        <v>7593.7224409230557</v>
      </c>
      <c r="N369" s="108">
        <f>N$350</f>
        <v>7305.2734351127556</v>
      </c>
      <c r="O369" s="57"/>
    </row>
    <row r="370" spans="2:15" s="5" customFormat="1" ht="15" customHeight="1" outlineLevel="1">
      <c r="O370" s="42"/>
    </row>
    <row r="371" spans="2:15" s="5" customFormat="1" ht="15" customHeight="1" outlineLevel="1">
      <c r="B371" s="9"/>
      <c r="D371" s="99"/>
      <c r="E371" s="10"/>
      <c r="F371" s="99"/>
      <c r="G371" s="10"/>
      <c r="H371" s="10"/>
      <c r="I371" s="37"/>
      <c r="J371" s="37"/>
      <c r="K371" s="37"/>
      <c r="L371" s="37"/>
      <c r="M371" s="37"/>
    </row>
    <row r="372" spans="2:15" s="5" customFormat="1" ht="15" customHeight="1" outlineLevel="1">
      <c r="B372" s="50" t="s">
        <v>226</v>
      </c>
      <c r="D372" s="99"/>
      <c r="E372" s="10"/>
      <c r="F372" s="99"/>
      <c r="G372" s="10"/>
      <c r="H372" s="10"/>
      <c r="I372" s="37"/>
      <c r="J372" s="37"/>
      <c r="K372" s="37"/>
      <c r="L372" s="37"/>
      <c r="M372" s="37"/>
    </row>
    <row r="373" spans="2:15" s="5" customFormat="1" ht="15" customHeight="1" outlineLevel="1">
      <c r="B373" s="98" t="s">
        <v>221</v>
      </c>
      <c r="D373" s="269"/>
      <c r="E373" s="10"/>
      <c r="F373" s="99"/>
      <c r="G373" s="18"/>
      <c r="H373" s="573">
        <v>0</v>
      </c>
      <c r="I373" s="158">
        <f>I369</f>
        <v>12672.575579747263</v>
      </c>
      <c r="J373" s="158">
        <f>J369</f>
        <v>12735.589408395505</v>
      </c>
      <c r="K373" s="158">
        <f>K369</f>
        <v>8617.5860471492997</v>
      </c>
      <c r="L373" s="158">
        <f>L369</f>
        <v>8060.2525783672181</v>
      </c>
      <c r="M373" s="158">
        <f>M369</f>
        <v>7593.7224409230557</v>
      </c>
      <c r="N373" s="581"/>
      <c r="O373" s="42"/>
    </row>
    <row r="374" spans="2:15" s="5" customFormat="1" ht="15" customHeight="1" outlineLevel="1">
      <c r="B374" s="98" t="s">
        <v>92</v>
      </c>
      <c r="D374" s="10"/>
      <c r="E374" s="10"/>
      <c r="F374" s="99"/>
      <c r="G374" s="18"/>
      <c r="H374" s="574">
        <v>0</v>
      </c>
      <c r="I374" s="574">
        <v>0</v>
      </c>
      <c r="J374" s="574">
        <v>0</v>
      </c>
      <c r="K374" s="574">
        <v>0</v>
      </c>
      <c r="L374" s="574">
        <v>0</v>
      </c>
      <c r="M374" s="181">
        <f>N369/(C367-C366)</f>
        <v>94346.907222660651</v>
      </c>
      <c r="N374" s="581"/>
      <c r="O374" s="42"/>
    </row>
    <row r="375" spans="2:15" s="5" customFormat="1" ht="15" customHeight="1" outlineLevel="1">
      <c r="B375" s="98" t="s">
        <v>93</v>
      </c>
      <c r="D375" s="147"/>
      <c r="E375" s="147"/>
      <c r="F375" s="18"/>
      <c r="G375" s="18"/>
      <c r="H375" s="158">
        <f>SUM(H373:H374)</f>
        <v>0</v>
      </c>
      <c r="I375" s="158">
        <f>SUM(I373:I374)</f>
        <v>12672.575579747263</v>
      </c>
      <c r="J375" s="158">
        <f t="shared" ref="J375:L375" si="84">SUM(J373:J374)</f>
        <v>12735.589408395505</v>
      </c>
      <c r="K375" s="158">
        <f t="shared" si="84"/>
        <v>8617.5860471492997</v>
      </c>
      <c r="L375" s="158">
        <f t="shared" si="84"/>
        <v>8060.2525783672181</v>
      </c>
      <c r="M375" s="158">
        <f>SUM(M373:M374)</f>
        <v>101940.62966358371</v>
      </c>
      <c r="N375" s="18"/>
      <c r="O375" s="42"/>
    </row>
    <row r="376" spans="2:15" s="5" customFormat="1" ht="15" customHeight="1" outlineLevel="1">
      <c r="B376" s="50"/>
      <c r="D376" s="10"/>
      <c r="E376" s="10"/>
      <c r="F376" s="95"/>
      <c r="G376" s="95"/>
      <c r="H376" s="95"/>
      <c r="I376" s="95"/>
      <c r="J376" s="95"/>
      <c r="K376" s="95"/>
      <c r="L376" s="95"/>
      <c r="M376" s="99"/>
      <c r="N376" s="99"/>
      <c r="O376" s="42"/>
    </row>
    <row r="377" spans="2:15" s="5" customFormat="1" ht="15" customHeight="1" outlineLevel="1">
      <c r="B377" s="50" t="s">
        <v>227</v>
      </c>
      <c r="D377" s="10"/>
      <c r="E377" s="10"/>
      <c r="F377" s="99"/>
      <c r="G377" s="10"/>
      <c r="H377" s="10"/>
      <c r="I377" s="37"/>
      <c r="J377" s="37"/>
      <c r="K377" s="37"/>
      <c r="L377" s="37"/>
      <c r="M377" s="37"/>
      <c r="N377" s="18"/>
      <c r="O377" s="42"/>
    </row>
    <row r="378" spans="2:15" s="5" customFormat="1" ht="15" customHeight="1" outlineLevel="1">
      <c r="B378" s="280" t="s">
        <v>181</v>
      </c>
      <c r="D378" s="10"/>
      <c r="E378" s="10"/>
      <c r="F378" s="95"/>
      <c r="G378" s="95"/>
      <c r="H378" s="573">
        <v>0</v>
      </c>
      <c r="I378" s="292">
        <f>YEARFRAC(I366,H366)</f>
        <v>0.75</v>
      </c>
      <c r="J378" s="292">
        <f>YEARFRAC(J366,I366)</f>
        <v>1</v>
      </c>
      <c r="K378" s="292">
        <f>YEARFRAC(K366,J366)</f>
        <v>1</v>
      </c>
      <c r="L378" s="292">
        <f>YEARFRAC(L366,K366)</f>
        <v>1</v>
      </c>
      <c r="M378" s="292">
        <f>YEARFRAC(M366,L366)</f>
        <v>1</v>
      </c>
      <c r="N378" s="18"/>
      <c r="O378" s="42"/>
    </row>
    <row r="379" spans="2:15" s="5" customFormat="1" ht="6" customHeight="1" outlineLevel="1">
      <c r="B379" s="280"/>
      <c r="D379" s="10"/>
      <c r="E379" s="10"/>
      <c r="F379" s="95"/>
      <c r="G379" s="95"/>
      <c r="H379" s="573"/>
      <c r="I379" s="292"/>
      <c r="J379" s="292"/>
      <c r="K379" s="292"/>
      <c r="L379" s="292"/>
      <c r="M379" s="292"/>
      <c r="N379" s="18"/>
      <c r="O379" s="42"/>
    </row>
    <row r="380" spans="2:15" s="5" customFormat="1" ht="15" customHeight="1" outlineLevel="1">
      <c r="B380" s="98" t="s">
        <v>221</v>
      </c>
      <c r="D380" s="269"/>
      <c r="E380" s="10"/>
      <c r="F380" s="99"/>
      <c r="G380" s="18"/>
      <c r="H380" s="573">
        <v>0</v>
      </c>
      <c r="I380" s="158">
        <f>I373*I$378</f>
        <v>9504.4316848104463</v>
      </c>
      <c r="J380" s="158">
        <f t="shared" ref="J380:M381" si="85">J373*J$378</f>
        <v>12735.589408395505</v>
      </c>
      <c r="K380" s="158">
        <f t="shared" si="85"/>
        <v>8617.5860471492997</v>
      </c>
      <c r="L380" s="158">
        <f t="shared" si="85"/>
        <v>8060.2525783672181</v>
      </c>
      <c r="M380" s="158">
        <f t="shared" si="85"/>
        <v>7593.7224409230557</v>
      </c>
      <c r="N380" s="18"/>
      <c r="O380" s="42"/>
    </row>
    <row r="381" spans="2:15" s="5" customFormat="1" ht="15" customHeight="1" outlineLevel="1">
      <c r="B381" s="98" t="s">
        <v>92</v>
      </c>
      <c r="D381" s="10"/>
      <c r="E381" s="10"/>
      <c r="F381" s="99"/>
      <c r="G381" s="18"/>
      <c r="H381" s="574">
        <v>0</v>
      </c>
      <c r="I381" s="181">
        <f>I374*I$378</f>
        <v>0</v>
      </c>
      <c r="J381" s="181">
        <f t="shared" si="85"/>
        <v>0</v>
      </c>
      <c r="K381" s="181">
        <f t="shared" si="85"/>
        <v>0</v>
      </c>
      <c r="L381" s="181">
        <f t="shared" si="85"/>
        <v>0</v>
      </c>
      <c r="M381" s="181">
        <f t="shared" si="85"/>
        <v>94346.907222660651</v>
      </c>
      <c r="N381" s="18"/>
      <c r="O381" s="42"/>
    </row>
    <row r="382" spans="2:15" s="5" customFormat="1" ht="15" customHeight="1" outlineLevel="1">
      <c r="B382" s="98" t="s">
        <v>93</v>
      </c>
      <c r="D382" s="147"/>
      <c r="E382" s="147"/>
      <c r="F382" s="18"/>
      <c r="G382" s="18"/>
      <c r="H382" s="158">
        <f>SUM(H380:H381)</f>
        <v>0</v>
      </c>
      <c r="I382" s="158">
        <f>SUM(I380:I381)</f>
        <v>9504.4316848104463</v>
      </c>
      <c r="J382" s="158">
        <f t="shared" ref="J382:L382" si="86">SUM(J380:J381)</f>
        <v>12735.589408395505</v>
      </c>
      <c r="K382" s="158">
        <f t="shared" si="86"/>
        <v>8617.5860471492997</v>
      </c>
      <c r="L382" s="158">
        <f t="shared" si="86"/>
        <v>8060.2525783672181</v>
      </c>
      <c r="M382" s="158">
        <f>SUM(M380:M381)</f>
        <v>101940.62966358371</v>
      </c>
      <c r="N382" s="18"/>
      <c r="O382" s="42"/>
    </row>
    <row r="383" spans="2:15" s="5" customFormat="1" ht="15" customHeight="1" outlineLevel="1">
      <c r="B383" s="280"/>
      <c r="D383" s="10"/>
      <c r="E383" s="10"/>
      <c r="F383" s="95"/>
      <c r="G383" s="95"/>
      <c r="H383" s="573"/>
      <c r="I383" s="292"/>
      <c r="J383" s="292"/>
      <c r="K383" s="292"/>
      <c r="L383" s="292"/>
      <c r="M383" s="292"/>
      <c r="N383" s="18"/>
      <c r="O383" s="42"/>
    </row>
    <row r="384" spans="2:15" s="5" customFormat="1" ht="15" customHeight="1" outlineLevel="1">
      <c r="B384" s="50" t="s">
        <v>228</v>
      </c>
      <c r="D384" s="10"/>
      <c r="E384" s="10"/>
      <c r="F384" s="99"/>
      <c r="G384" s="10"/>
      <c r="H384" s="10"/>
      <c r="I384" s="37"/>
      <c r="J384" s="37"/>
      <c r="K384" s="37"/>
      <c r="L384" s="37"/>
      <c r="M384" s="37"/>
      <c r="N384" s="18"/>
      <c r="O384" s="42"/>
    </row>
    <row r="385" spans="2:15" s="5" customFormat="1" ht="15" customHeight="1" outlineLevel="1">
      <c r="B385" s="280" t="s">
        <v>94</v>
      </c>
      <c r="C385" s="99"/>
      <c r="D385" s="10"/>
      <c r="E385" s="10"/>
      <c r="F385" s="18"/>
      <c r="G385" s="18"/>
      <c r="H385" s="543">
        <v>0</v>
      </c>
      <c r="I385" s="32">
        <f>H385+YEARFRAC(H367,I367)</f>
        <v>0.25</v>
      </c>
      <c r="J385" s="32">
        <f>I385+YEARFRAC(I367,J367)</f>
        <v>1.25</v>
      </c>
      <c r="K385" s="32">
        <f>J385+YEARFRAC(J367,K367)</f>
        <v>2.25</v>
      </c>
      <c r="L385" s="32">
        <f>K385+YEARFRAC(K367,L367)</f>
        <v>3.25</v>
      </c>
      <c r="M385" s="32">
        <f>L385+YEARFRAC(L367,M367)</f>
        <v>4.25</v>
      </c>
      <c r="N385" s="18"/>
      <c r="O385" s="42"/>
    </row>
    <row r="386" spans="2:15" s="5" customFormat="1" ht="6" customHeight="1" outlineLevel="1">
      <c r="B386" s="280"/>
      <c r="C386" s="99"/>
      <c r="D386" s="10"/>
      <c r="E386" s="10"/>
      <c r="F386" s="18"/>
      <c r="G386" s="18"/>
      <c r="H386" s="543"/>
      <c r="I386" s="32"/>
      <c r="J386" s="32"/>
      <c r="K386" s="32"/>
      <c r="L386" s="32"/>
      <c r="M386" s="32"/>
      <c r="N386" s="18"/>
      <c r="O386" s="42"/>
    </row>
    <row r="387" spans="2:15" s="5" customFormat="1" ht="15" customHeight="1" outlineLevel="1">
      <c r="B387" s="98" t="s">
        <v>221</v>
      </c>
      <c r="D387" s="269"/>
      <c r="E387" s="10"/>
      <c r="F387" s="99"/>
      <c r="G387" s="18"/>
      <c r="H387" s="565">
        <v>0</v>
      </c>
      <c r="I387" s="158">
        <f>I380/(1+$C$367)^I$385</f>
        <v>9286.0700264431089</v>
      </c>
      <c r="J387" s="158">
        <f t="shared" ref="J387:M387" si="87">J380/(1+$C$367)^J$385</f>
        <v>11338.302869221963</v>
      </c>
      <c r="K387" s="158">
        <f t="shared" si="87"/>
        <v>6990.9764129555761</v>
      </c>
      <c r="L387" s="158">
        <f t="shared" si="87"/>
        <v>5958.3232826602762</v>
      </c>
      <c r="M387" s="158">
        <f t="shared" si="87"/>
        <v>5115.0906511189969</v>
      </c>
      <c r="N387" s="18"/>
      <c r="O387" s="42"/>
    </row>
    <row r="388" spans="2:15" s="5" customFormat="1" ht="15" customHeight="1" outlineLevel="1">
      <c r="B388" s="98" t="s">
        <v>92</v>
      </c>
      <c r="D388" s="10"/>
      <c r="E388" s="10"/>
      <c r="F388" s="99"/>
      <c r="G388" s="18"/>
      <c r="H388" s="574">
        <v>0</v>
      </c>
      <c r="I388" s="181">
        <f>I381/(1+$C$367)^I$385</f>
        <v>0</v>
      </c>
      <c r="J388" s="181">
        <f>J381/(1+$C$367)^J$385</f>
        <v>0</v>
      </c>
      <c r="K388" s="181">
        <f>K381/(1+$C$367)^K$385</f>
        <v>0</v>
      </c>
      <c r="L388" s="181">
        <f>L381/(1+$C$367)^L$385</f>
        <v>0</v>
      </c>
      <c r="M388" s="181">
        <f>M381/(1+$C$367)^M$385</f>
        <v>63551.569977840962</v>
      </c>
      <c r="N388" s="18"/>
      <c r="O388" s="42"/>
    </row>
    <row r="389" spans="2:15" s="5" customFormat="1" ht="15" customHeight="1" outlineLevel="1">
      <c r="B389" s="98" t="s">
        <v>93</v>
      </c>
      <c r="D389" s="147"/>
      <c r="E389" s="147"/>
      <c r="F389" s="18"/>
      <c r="G389" s="18"/>
      <c r="H389" s="158">
        <f>SUM(H387:H388)</f>
        <v>0</v>
      </c>
      <c r="I389" s="158">
        <f>SUM(I387:I388)</f>
        <v>9286.0700264431089</v>
      </c>
      <c r="J389" s="158">
        <f t="shared" ref="J389:L389" si="88">SUM(J387:J388)</f>
        <v>11338.302869221963</v>
      </c>
      <c r="K389" s="158">
        <f t="shared" si="88"/>
        <v>6990.9764129555761</v>
      </c>
      <c r="L389" s="158">
        <f t="shared" si="88"/>
        <v>5958.3232826602762</v>
      </c>
      <c r="M389" s="158">
        <f>SUM(M387:M388)</f>
        <v>68666.660628959959</v>
      </c>
      <c r="N389" s="18"/>
      <c r="O389" s="42"/>
    </row>
    <row r="390" spans="2:15" s="5" customFormat="1" ht="15" customHeight="1" outlineLevel="1">
      <c r="B390" s="280"/>
      <c r="D390" s="10"/>
      <c r="E390" s="10"/>
      <c r="F390" s="95"/>
      <c r="G390" s="95"/>
      <c r="H390" s="573"/>
      <c r="I390" s="292"/>
      <c r="J390" s="292"/>
      <c r="K390" s="292"/>
      <c r="L390" s="292"/>
      <c r="M390" s="292"/>
      <c r="N390" s="18"/>
      <c r="O390" s="42"/>
    </row>
    <row r="391" spans="2:15" ht="15" customHeight="1" outlineLevel="1">
      <c r="F391" s="204"/>
      <c r="G391" s="204"/>
      <c r="H391" s="204"/>
      <c r="I391" s="204"/>
      <c r="J391" s="204"/>
      <c r="K391" s="204"/>
      <c r="L391" s="204"/>
      <c r="M391" s="204"/>
    </row>
    <row r="392" spans="2:15" ht="15" customHeight="1" outlineLevel="1">
      <c r="F392" s="14" t="s">
        <v>201</v>
      </c>
      <c r="G392" s="293"/>
      <c r="H392" s="204"/>
      <c r="I392" s="204"/>
      <c r="J392" s="14" t="s">
        <v>201</v>
      </c>
      <c r="K392" s="293"/>
      <c r="L392" s="204"/>
      <c r="M392" s="204"/>
    </row>
    <row r="393" spans="2:15" ht="15" customHeight="1" outlineLevel="1">
      <c r="F393" s="302" t="s">
        <v>89</v>
      </c>
      <c r="G393" s="294"/>
      <c r="H393" s="173">
        <f>SUM(I389:M389)</f>
        <v>102240.33322024089</v>
      </c>
      <c r="I393" s="204"/>
      <c r="J393" s="302" t="s">
        <v>223</v>
      </c>
      <c r="K393" s="294"/>
      <c r="L393" s="401">
        <f>M393/$M$395</f>
        <v>0.37840998775951334</v>
      </c>
      <c r="M393" s="173">
        <f>SUM(I387:M387)</f>
        <v>38688.763242399924</v>
      </c>
    </row>
    <row r="394" spans="2:15" ht="15" customHeight="1" outlineLevel="1">
      <c r="F394" s="303" t="s">
        <v>269</v>
      </c>
      <c r="G394" s="301"/>
      <c r="H394" s="175">
        <f>XNPV(C367,H382:M382,H367:M367)</f>
        <v>102223.16862027517</v>
      </c>
      <c r="I394" s="204"/>
      <c r="J394" s="304" t="s">
        <v>224</v>
      </c>
      <c r="K394" s="204"/>
      <c r="L394" s="456">
        <f>M394/$M$395</f>
        <v>0.6215900122404866</v>
      </c>
      <c r="M394" s="174">
        <f>SUM(I388:M388)</f>
        <v>63551.569977840962</v>
      </c>
    </row>
    <row r="395" spans="2:15" ht="15" customHeight="1" outlineLevel="1">
      <c r="I395" s="204"/>
      <c r="J395" s="304" t="s">
        <v>88</v>
      </c>
      <c r="K395" s="204"/>
      <c r="L395" s="401">
        <f>M395/$M$395</f>
        <v>1</v>
      </c>
      <c r="M395" s="173">
        <f>SUM(M393:M394)</f>
        <v>102240.33322024089</v>
      </c>
    </row>
    <row r="396" spans="2:15" ht="15" customHeight="1" outlineLevel="1">
      <c r="F396" s="204"/>
      <c r="G396" s="204"/>
      <c r="H396" s="204"/>
      <c r="I396" s="204"/>
      <c r="J396" s="294"/>
      <c r="K396" s="294"/>
      <c r="L396" s="294"/>
      <c r="M396" s="294"/>
    </row>
    <row r="397" spans="2:15" ht="15" customHeight="1" outlineLevel="1">
      <c r="F397" s="204"/>
      <c r="G397" s="204"/>
      <c r="H397" s="204"/>
      <c r="I397" s="204"/>
      <c r="J397" s="204"/>
      <c r="K397" s="204"/>
      <c r="L397" s="204"/>
      <c r="M397" s="204"/>
    </row>
    <row r="398" spans="2:15" ht="15" customHeight="1" outlineLevel="1">
      <c r="F398" s="14" t="s">
        <v>202</v>
      </c>
      <c r="G398" s="18"/>
      <c r="H398" s="204"/>
      <c r="I398" s="204"/>
      <c r="J398" s="14" t="s">
        <v>203</v>
      </c>
      <c r="K398" s="18"/>
      <c r="L398" s="204"/>
      <c r="M398" s="204"/>
    </row>
    <row r="399" spans="2:15" ht="15" customHeight="1" outlineLevel="1">
      <c r="F399" s="302" t="s">
        <v>88</v>
      </c>
      <c r="G399" s="294"/>
      <c r="H399" s="127">
        <f>H394</f>
        <v>102223.16862027517</v>
      </c>
      <c r="I399" s="295"/>
      <c r="J399" s="302" t="s">
        <v>118</v>
      </c>
      <c r="K399" s="294"/>
      <c r="L399" s="294"/>
      <c r="M399" s="173">
        <f>H401</f>
        <v>83581.168620275173</v>
      </c>
    </row>
    <row r="400" spans="2:15" ht="15" customHeight="1" outlineLevel="1">
      <c r="F400" s="304" t="s">
        <v>235</v>
      </c>
      <c r="G400" s="204"/>
      <c r="H400" s="27">
        <f>-Inputs!$L$94</f>
        <v>-18642</v>
      </c>
      <c r="I400" s="295"/>
      <c r="J400" s="304" t="s">
        <v>121</v>
      </c>
      <c r="K400" s="204"/>
      <c r="L400" s="296" t="s">
        <v>156</v>
      </c>
      <c r="M400" s="174">
        <f>Inputs!$F$105</f>
        <v>34200</v>
      </c>
    </row>
    <row r="401" spans="1:15" ht="15" customHeight="1" outlineLevel="1">
      <c r="F401" s="304" t="s">
        <v>118</v>
      </c>
      <c r="G401" s="204"/>
      <c r="H401" s="127">
        <f>SUM(H399:H400)</f>
        <v>83581.168620275173</v>
      </c>
      <c r="I401" s="295"/>
      <c r="J401" s="304" t="s">
        <v>118</v>
      </c>
      <c r="K401" s="204"/>
      <c r="L401" s="297" t="s">
        <v>122</v>
      </c>
      <c r="M401" s="457">
        <f>M399/M400</f>
        <v>2.4438938193062918</v>
      </c>
    </row>
    <row r="402" spans="1:15" ht="15" customHeight="1" outlineLevel="1">
      <c r="C402" s="18"/>
      <c r="F402" s="294"/>
      <c r="G402" s="294"/>
      <c r="H402" s="294"/>
      <c r="I402" s="204"/>
      <c r="J402" s="294"/>
      <c r="K402" s="294"/>
      <c r="L402" s="294"/>
      <c r="M402" s="294"/>
    </row>
    <row r="403" spans="1:15" ht="15" customHeight="1" outlineLevel="1">
      <c r="C403" s="18"/>
      <c r="F403" s="204"/>
      <c r="G403" s="204"/>
      <c r="H403" s="204"/>
      <c r="I403" s="204"/>
      <c r="J403" s="204"/>
      <c r="K403" s="204"/>
      <c r="L403" s="204"/>
      <c r="M403" s="204"/>
    </row>
    <row r="404" spans="1:15" s="5" customFormat="1" ht="15" customHeight="1" outlineLevel="1">
      <c r="C404" s="6"/>
      <c r="D404" s="10"/>
      <c r="E404" s="10"/>
      <c r="F404" s="298"/>
      <c r="G404" s="298"/>
      <c r="H404" s="298"/>
      <c r="I404" s="299"/>
      <c r="J404" s="299"/>
      <c r="K404" s="299"/>
      <c r="L404" s="299"/>
      <c r="M404" s="300" t="s">
        <v>191</v>
      </c>
      <c r="O404" s="39"/>
    </row>
    <row r="405" spans="1:15" s="5" customFormat="1" ht="15" customHeight="1" outlineLevel="1">
      <c r="C405" s="6"/>
      <c r="D405" s="10"/>
      <c r="E405" s="10"/>
      <c r="F405" s="10"/>
      <c r="G405" s="10"/>
      <c r="H405" s="10"/>
      <c r="I405" s="37"/>
      <c r="J405" s="37"/>
      <c r="K405" s="37"/>
      <c r="L405" s="37"/>
      <c r="M405" s="120"/>
      <c r="O405" s="39"/>
    </row>
    <row r="406" spans="1:15" s="5" customFormat="1" ht="15" customHeight="1" outlineLevel="1">
      <c r="B406" s="29"/>
      <c r="C406" s="30"/>
      <c r="D406" s="31"/>
      <c r="E406" s="31"/>
      <c r="F406" s="31"/>
      <c r="G406" s="31"/>
      <c r="H406" s="31"/>
      <c r="I406" s="43"/>
      <c r="J406" s="43"/>
      <c r="K406" s="43"/>
      <c r="L406" s="43"/>
      <c r="M406" s="43"/>
      <c r="N406" s="43"/>
    </row>
    <row r="407" spans="1:15" s="5" customFormat="1" ht="15" customHeight="1">
      <c r="B407" s="9"/>
      <c r="C407" s="6"/>
      <c r="D407" s="10"/>
      <c r="E407" s="10"/>
      <c r="F407" s="10"/>
      <c r="G407" s="10"/>
      <c r="H407" s="10"/>
      <c r="I407" s="37"/>
      <c r="J407" s="37"/>
      <c r="K407" s="37"/>
      <c r="L407" s="37"/>
      <c r="M407" s="37"/>
      <c r="N407" s="37"/>
    </row>
    <row r="408" spans="1:15" s="5" customFormat="1" ht="15" customHeight="1">
      <c r="A408" s="5" t="s">
        <v>151</v>
      </c>
      <c r="B408" s="505" t="s">
        <v>209</v>
      </c>
      <c r="C408" s="489"/>
      <c r="D408" s="578"/>
      <c r="E408" s="578"/>
      <c r="F408" s="491"/>
      <c r="G408" s="491"/>
      <c r="H408" s="491"/>
      <c r="I408" s="579"/>
      <c r="J408" s="580"/>
      <c r="K408" s="580"/>
      <c r="L408" s="580"/>
      <c r="M408" s="580"/>
      <c r="N408" s="580"/>
    </row>
    <row r="409" spans="1:15" s="5" customFormat="1" ht="15" customHeight="1" outlineLevel="1">
      <c r="B409" s="506"/>
      <c r="C409" s="6"/>
      <c r="D409" s="7"/>
    </row>
    <row r="410" spans="1:15" s="5" customFormat="1" ht="15" customHeight="1" outlineLevel="1">
      <c r="B410" s="9" t="s">
        <v>22</v>
      </c>
      <c r="C410" s="6"/>
      <c r="D410" s="7"/>
      <c r="E410" s="7"/>
      <c r="F410" s="8"/>
      <c r="G410" s="8"/>
      <c r="H410" s="8"/>
      <c r="I410" s="8"/>
      <c r="J410" s="8"/>
      <c r="K410" s="8"/>
      <c r="L410" s="8"/>
      <c r="M410" s="8"/>
      <c r="N410" s="8"/>
      <c r="O410" s="57"/>
    </row>
    <row r="411" spans="1:15" s="5" customFormat="1" ht="15" customHeight="1" outlineLevel="1">
      <c r="B411" s="9" t="str">
        <f>$B$6</f>
        <v>Model Running: Worst Case Drivers</v>
      </c>
      <c r="E411" s="7"/>
      <c r="F411" s="8"/>
      <c r="G411" s="8"/>
      <c r="H411" s="200" t="s">
        <v>86</v>
      </c>
      <c r="I411" s="201" t="s">
        <v>221</v>
      </c>
      <c r="J411" s="202"/>
      <c r="K411" s="202"/>
      <c r="L411" s="202"/>
      <c r="M411" s="202"/>
      <c r="N411" s="227" t="s">
        <v>85</v>
      </c>
      <c r="O411" s="198"/>
    </row>
    <row r="412" spans="1:15" s="5" customFormat="1" ht="15" customHeight="1" outlineLevel="1">
      <c r="E412" s="10"/>
      <c r="H412" s="196" t="s">
        <v>95</v>
      </c>
      <c r="I412" s="196" t="s">
        <v>95</v>
      </c>
      <c r="J412" s="195" t="s">
        <v>95</v>
      </c>
      <c r="K412" s="195" t="s">
        <v>95</v>
      </c>
      <c r="L412" s="195" t="s">
        <v>95</v>
      </c>
      <c r="M412" s="195" t="s">
        <v>95</v>
      </c>
      <c r="N412" s="228" t="s">
        <v>95</v>
      </c>
      <c r="O412" s="198"/>
    </row>
    <row r="413" spans="1:15" s="5" customFormat="1" ht="15" customHeight="1" outlineLevel="1">
      <c r="B413" s="45" t="s">
        <v>230</v>
      </c>
      <c r="C413" s="274">
        <f>+Outputs!$O$56</f>
        <v>7</v>
      </c>
      <c r="E413" s="10"/>
      <c r="F413" s="199" t="s">
        <v>170</v>
      </c>
      <c r="H413" s="197">
        <f>Inputs!$F$94</f>
        <v>45016</v>
      </c>
      <c r="I413" s="197">
        <f>Inputs!$F$96</f>
        <v>45291</v>
      </c>
      <c r="J413" s="450">
        <f>EDATE(I413,12)</f>
        <v>45657</v>
      </c>
      <c r="K413" s="450">
        <f t="shared" ref="K413:K414" si="89">EDATE(J413,12)</f>
        <v>46022</v>
      </c>
      <c r="L413" s="450">
        <f t="shared" ref="L413:L414" si="90">EDATE(K413,12)</f>
        <v>46387</v>
      </c>
      <c r="M413" s="450">
        <f t="shared" ref="M413:M414" si="91">EDATE(L413,12)</f>
        <v>46752</v>
      </c>
      <c r="N413" s="451">
        <f t="shared" ref="N413:N414" si="92">EDATE(M413,12)</f>
        <v>47118</v>
      </c>
      <c r="O413" s="198"/>
    </row>
    <row r="414" spans="1:15" s="5" customFormat="1" ht="15" customHeight="1" outlineLevel="1" thickBot="1">
      <c r="B414" s="46" t="s">
        <v>96</v>
      </c>
      <c r="C414" s="273">
        <f>+Outputs!$O$57</f>
        <v>9.7429919540151538E-2</v>
      </c>
      <c r="D414" s="7"/>
      <c r="E414" s="10"/>
      <c r="F414" s="199" t="s">
        <v>183</v>
      </c>
      <c r="H414" s="197">
        <f>H413</f>
        <v>45016</v>
      </c>
      <c r="I414" s="197">
        <f>Inputs!$F$95</f>
        <v>45107</v>
      </c>
      <c r="J414" s="450">
        <f>EDATE(I414,12)</f>
        <v>45473</v>
      </c>
      <c r="K414" s="450">
        <f t="shared" si="89"/>
        <v>45838</v>
      </c>
      <c r="L414" s="450">
        <f t="shared" si="90"/>
        <v>46203</v>
      </c>
      <c r="M414" s="450">
        <f t="shared" si="91"/>
        <v>46568</v>
      </c>
      <c r="N414" s="452">
        <f t="shared" si="92"/>
        <v>46934</v>
      </c>
      <c r="O414" s="198"/>
    </row>
    <row r="415" spans="1:15" s="5" customFormat="1" ht="15" customHeight="1" outlineLevel="1">
      <c r="B415" s="506"/>
      <c r="C415" s="6"/>
      <c r="D415" s="7"/>
      <c r="E415" s="7"/>
      <c r="F415" s="8"/>
      <c r="G415" s="8"/>
      <c r="H415" s="453"/>
      <c r="I415" s="453"/>
      <c r="J415" s="453"/>
      <c r="K415" s="453"/>
      <c r="L415" s="453"/>
      <c r="M415" s="453"/>
      <c r="N415" s="453"/>
      <c r="O415" s="57"/>
    </row>
    <row r="416" spans="1:15" s="5" customFormat="1" ht="15" customHeight="1" outlineLevel="1">
      <c r="B416" s="12" t="s">
        <v>83</v>
      </c>
      <c r="C416" s="210"/>
      <c r="D416" s="298"/>
      <c r="E416" s="298"/>
      <c r="F416" s="18"/>
      <c r="G416" s="18"/>
      <c r="H416" s="589"/>
      <c r="I416" s="127">
        <f>I$350</f>
        <v>12672.575579747263</v>
      </c>
      <c r="J416" s="127">
        <f t="shared" ref="J416:M416" si="93">J$350</f>
        <v>12735.589408395505</v>
      </c>
      <c r="K416" s="127">
        <f t="shared" si="93"/>
        <v>8617.5860471492997</v>
      </c>
      <c r="L416" s="127">
        <f t="shared" si="93"/>
        <v>8060.2525783672181</v>
      </c>
      <c r="M416" s="127">
        <f t="shared" si="93"/>
        <v>7593.7224409230557</v>
      </c>
      <c r="N416" s="128">
        <f>N$350</f>
        <v>7305.2734351127556</v>
      </c>
      <c r="O416" s="57"/>
    </row>
    <row r="417" spans="2:15" s="5" customFormat="1" ht="15" customHeight="1" outlineLevel="1">
      <c r="B417" s="12" t="s">
        <v>40</v>
      </c>
      <c r="C417" s="210"/>
      <c r="D417" s="298"/>
      <c r="E417" s="298"/>
      <c r="F417" s="18"/>
      <c r="G417" s="18"/>
      <c r="H417" s="590"/>
      <c r="I417" s="28"/>
      <c r="J417" s="28"/>
      <c r="K417" s="28"/>
      <c r="L417" s="28"/>
      <c r="M417" s="571"/>
      <c r="N417" s="454">
        <f>N$335</f>
        <v>16309.448525361458</v>
      </c>
      <c r="O417" s="57"/>
    </row>
    <row r="418" spans="2:15" s="5" customFormat="1" ht="15" customHeight="1" outlineLevel="1"/>
    <row r="419" spans="2:15" s="5" customFormat="1" ht="15" customHeight="1" outlineLevel="1">
      <c r="B419" s="50" t="s">
        <v>226</v>
      </c>
      <c r="E419" s="10"/>
      <c r="F419" s="99"/>
      <c r="G419" s="99"/>
      <c r="H419" s="99"/>
      <c r="I419" s="99"/>
      <c r="J419" s="99"/>
      <c r="K419" s="99"/>
      <c r="L419" s="99"/>
      <c r="M419" s="99"/>
      <c r="N419" s="99"/>
      <c r="O419" s="99"/>
    </row>
    <row r="420" spans="2:15" s="5" customFormat="1" ht="15" customHeight="1" outlineLevel="1">
      <c r="B420" s="280" t="s">
        <v>221</v>
      </c>
      <c r="D420" s="269"/>
      <c r="E420" s="10"/>
      <c r="F420" s="473" t="s">
        <v>241</v>
      </c>
      <c r="G420" s="18"/>
      <c r="H420" s="573">
        <v>0</v>
      </c>
      <c r="I420" s="158">
        <f t="shared" ref="I420:N420" si="94">I416</f>
        <v>12672.575579747263</v>
      </c>
      <c r="J420" s="158">
        <f t="shared" si="94"/>
        <v>12735.589408395505</v>
      </c>
      <c r="K420" s="158">
        <f t="shared" si="94"/>
        <v>8617.5860471492997</v>
      </c>
      <c r="L420" s="158">
        <f t="shared" si="94"/>
        <v>8060.2525783672181</v>
      </c>
      <c r="M420" s="158">
        <f t="shared" si="94"/>
        <v>7593.7224409230557</v>
      </c>
      <c r="N420" s="158">
        <f t="shared" si="94"/>
        <v>7305.2734351127556</v>
      </c>
      <c r="O420" s="42"/>
    </row>
    <row r="421" spans="2:15" s="5" customFormat="1" ht="15" customHeight="1" outlineLevel="1">
      <c r="B421" s="280" t="s">
        <v>270</v>
      </c>
      <c r="D421" s="10"/>
      <c r="E421" s="10"/>
      <c r="F421" s="474" t="s">
        <v>242</v>
      </c>
      <c r="G421" s="18"/>
      <c r="H421" s="574">
        <v>0</v>
      </c>
      <c r="I421" s="574">
        <v>0</v>
      </c>
      <c r="J421" s="574">
        <v>0</v>
      </c>
      <c r="K421" s="574">
        <v>0</v>
      </c>
      <c r="L421" s="574">
        <v>0</v>
      </c>
      <c r="M421" s="574">
        <v>0</v>
      </c>
      <c r="N421" s="181">
        <f>(N417*C413)/(1+C414)^F422</f>
        <v>108980.53065299471</v>
      </c>
      <c r="O421" s="42"/>
    </row>
    <row r="422" spans="2:15" s="5" customFormat="1" ht="15" customHeight="1" outlineLevel="1">
      <c r="B422" s="280" t="s">
        <v>93</v>
      </c>
      <c r="D422" s="147"/>
      <c r="E422" s="147"/>
      <c r="F422" s="475">
        <f>YEARFRAC(N414,N413)</f>
        <v>0.5</v>
      </c>
      <c r="G422" s="18"/>
      <c r="H422" s="158">
        <f>SUM(H420:H421)</f>
        <v>0</v>
      </c>
      <c r="I422" s="158">
        <f t="shared" ref="I422:N422" si="95">SUM(I420:I421)</f>
        <v>12672.575579747263</v>
      </c>
      <c r="J422" s="158">
        <f t="shared" si="95"/>
        <v>12735.589408395505</v>
      </c>
      <c r="K422" s="158">
        <f t="shared" si="95"/>
        <v>8617.5860471492997</v>
      </c>
      <c r="L422" s="158">
        <f t="shared" si="95"/>
        <v>8060.2525783672181</v>
      </c>
      <c r="M422" s="158">
        <f t="shared" si="95"/>
        <v>7593.7224409230557</v>
      </c>
      <c r="N422" s="158">
        <f t="shared" si="95"/>
        <v>116285.80408810747</v>
      </c>
      <c r="O422" s="42"/>
    </row>
    <row r="423" spans="2:15" s="5" customFormat="1" ht="15" customHeight="1" outlineLevel="1">
      <c r="B423" s="50"/>
      <c r="D423" s="10"/>
      <c r="E423" s="10"/>
      <c r="F423" s="95"/>
      <c r="G423" s="95"/>
      <c r="H423" s="95"/>
      <c r="I423" s="95"/>
      <c r="J423" s="95"/>
      <c r="K423" s="95"/>
      <c r="L423" s="95"/>
      <c r="M423" s="99"/>
      <c r="N423" s="99"/>
      <c r="O423" s="42"/>
    </row>
    <row r="424" spans="2:15" s="5" customFormat="1" ht="15" customHeight="1" outlineLevel="1">
      <c r="B424" s="50" t="s">
        <v>227</v>
      </c>
      <c r="D424" s="10"/>
      <c r="E424" s="10"/>
      <c r="F424" s="95"/>
      <c r="G424" s="95"/>
      <c r="H424" s="573"/>
      <c r="I424" s="292"/>
      <c r="J424" s="292"/>
      <c r="K424" s="292"/>
      <c r="L424" s="292"/>
      <c r="M424" s="292"/>
      <c r="N424" s="292"/>
      <c r="O424" s="42"/>
    </row>
    <row r="425" spans="2:15" s="5" customFormat="1" ht="15" customHeight="1" outlineLevel="1">
      <c r="B425" s="280" t="s">
        <v>181</v>
      </c>
      <c r="D425" s="10"/>
      <c r="E425" s="10"/>
      <c r="F425" s="95"/>
      <c r="G425" s="95"/>
      <c r="H425" s="573">
        <v>0</v>
      </c>
      <c r="I425" s="292">
        <f t="shared" ref="I425:N425" si="96">YEARFRAC(I413,H413)</f>
        <v>0.75</v>
      </c>
      <c r="J425" s="292">
        <f t="shared" si="96"/>
        <v>1</v>
      </c>
      <c r="K425" s="292">
        <f t="shared" si="96"/>
        <v>1</v>
      </c>
      <c r="L425" s="292">
        <f t="shared" si="96"/>
        <v>1</v>
      </c>
      <c r="M425" s="292">
        <f t="shared" si="96"/>
        <v>1</v>
      </c>
      <c r="N425" s="292">
        <f t="shared" si="96"/>
        <v>1</v>
      </c>
      <c r="O425" s="42"/>
    </row>
    <row r="426" spans="2:15" s="5" customFormat="1" ht="6" customHeight="1" outlineLevel="1">
      <c r="B426" s="280"/>
      <c r="D426" s="10"/>
      <c r="E426" s="10"/>
      <c r="F426" s="95"/>
      <c r="G426" s="95"/>
      <c r="H426" s="573"/>
      <c r="I426" s="292"/>
      <c r="J426" s="292"/>
      <c r="K426" s="292"/>
      <c r="L426" s="292"/>
      <c r="M426" s="292"/>
      <c r="N426" s="292"/>
      <c r="O426" s="42"/>
    </row>
    <row r="427" spans="2:15" s="5" customFormat="1" ht="15" customHeight="1" outlineLevel="1">
      <c r="B427" s="98" t="s">
        <v>221</v>
      </c>
      <c r="D427" s="10"/>
      <c r="E427" s="10"/>
      <c r="F427" s="95"/>
      <c r="G427" s="95"/>
      <c r="H427" s="573">
        <v>0</v>
      </c>
      <c r="I427" s="158">
        <f>I420*I$425</f>
        <v>9504.4316848104463</v>
      </c>
      <c r="J427" s="158">
        <f t="shared" ref="J427:N428" si="97">J420*J$425</f>
        <v>12735.589408395505</v>
      </c>
      <c r="K427" s="158">
        <f t="shared" si="97"/>
        <v>8617.5860471492997</v>
      </c>
      <c r="L427" s="158">
        <f t="shared" si="97"/>
        <v>8060.2525783672181</v>
      </c>
      <c r="M427" s="158">
        <f t="shared" si="97"/>
        <v>7593.7224409230557</v>
      </c>
      <c r="N427" s="158">
        <f t="shared" si="97"/>
        <v>7305.2734351127556</v>
      </c>
      <c r="O427" s="42"/>
    </row>
    <row r="428" spans="2:15" s="5" customFormat="1" ht="15" customHeight="1" outlineLevel="1">
      <c r="B428" s="98" t="s">
        <v>92</v>
      </c>
      <c r="D428" s="10"/>
      <c r="E428" s="10"/>
      <c r="F428" s="95"/>
      <c r="G428" s="95"/>
      <c r="H428" s="574">
        <v>0</v>
      </c>
      <c r="I428" s="181">
        <f>I421*I$425</f>
        <v>0</v>
      </c>
      <c r="J428" s="181">
        <f t="shared" si="97"/>
        <v>0</v>
      </c>
      <c r="K428" s="181">
        <f t="shared" si="97"/>
        <v>0</v>
      </c>
      <c r="L428" s="181">
        <f t="shared" si="97"/>
        <v>0</v>
      </c>
      <c r="M428" s="181">
        <f t="shared" si="97"/>
        <v>0</v>
      </c>
      <c r="N428" s="181">
        <f t="shared" si="97"/>
        <v>108980.53065299471</v>
      </c>
      <c r="O428" s="42"/>
    </row>
    <row r="429" spans="2:15" s="5" customFormat="1" ht="15" customHeight="1" outlineLevel="1">
      <c r="B429" s="98" t="s">
        <v>93</v>
      </c>
      <c r="D429" s="10"/>
      <c r="E429" s="10"/>
      <c r="F429" s="95"/>
      <c r="G429" s="95"/>
      <c r="H429" s="158">
        <f>SUM(H427:H428)</f>
        <v>0</v>
      </c>
      <c r="I429" s="158">
        <f>SUM(I427:I428)</f>
        <v>9504.4316848104463</v>
      </c>
      <c r="J429" s="158">
        <f t="shared" ref="J429:N429" si="98">SUM(J427:J428)</f>
        <v>12735.589408395505</v>
      </c>
      <c r="K429" s="158">
        <f t="shared" si="98"/>
        <v>8617.5860471492997</v>
      </c>
      <c r="L429" s="158">
        <f t="shared" si="98"/>
        <v>8060.2525783672181</v>
      </c>
      <c r="M429" s="158">
        <f t="shared" si="98"/>
        <v>7593.7224409230557</v>
      </c>
      <c r="N429" s="158">
        <f t="shared" si="98"/>
        <v>116285.80408810747</v>
      </c>
      <c r="O429" s="42"/>
    </row>
    <row r="430" spans="2:15" s="5" customFormat="1" ht="15" customHeight="1" outlineLevel="1">
      <c r="B430" s="280"/>
      <c r="D430" s="10"/>
      <c r="E430" s="10"/>
      <c r="F430" s="95"/>
      <c r="G430" s="95"/>
      <c r="H430" s="573"/>
      <c r="I430" s="292"/>
      <c r="J430" s="292"/>
      <c r="K430" s="292"/>
      <c r="L430" s="292"/>
      <c r="M430" s="292"/>
      <c r="N430" s="292"/>
      <c r="O430" s="42"/>
    </row>
    <row r="431" spans="2:15" s="5" customFormat="1" ht="15" customHeight="1" outlineLevel="1">
      <c r="B431" s="50" t="s">
        <v>228</v>
      </c>
      <c r="D431" s="10"/>
      <c r="E431" s="10"/>
      <c r="F431" s="95"/>
      <c r="G431" s="95"/>
      <c r="H431" s="573"/>
      <c r="I431" s="292"/>
      <c r="J431" s="292"/>
      <c r="K431" s="292"/>
      <c r="L431" s="292"/>
      <c r="M431" s="292"/>
      <c r="N431" s="292"/>
      <c r="O431" s="42"/>
    </row>
    <row r="432" spans="2:15" s="5" customFormat="1" ht="15" customHeight="1" outlineLevel="1">
      <c r="B432" s="280" t="s">
        <v>94</v>
      </c>
      <c r="D432" s="10"/>
      <c r="E432" s="10"/>
      <c r="F432" s="95"/>
      <c r="G432" s="95"/>
      <c r="H432" s="543">
        <v>0</v>
      </c>
      <c r="I432" s="32">
        <f>H432+YEARFRAC(H414,I414)</f>
        <v>0.25</v>
      </c>
      <c r="J432" s="32">
        <f t="shared" ref="J432:N432" si="99">I432+YEARFRAC(I414,J414)</f>
        <v>1.25</v>
      </c>
      <c r="K432" s="32">
        <f t="shared" si="99"/>
        <v>2.25</v>
      </c>
      <c r="L432" s="32">
        <f t="shared" si="99"/>
        <v>3.25</v>
      </c>
      <c r="M432" s="32">
        <f t="shared" si="99"/>
        <v>4.25</v>
      </c>
      <c r="N432" s="32">
        <f t="shared" si="99"/>
        <v>5.25</v>
      </c>
      <c r="O432" s="42"/>
    </row>
    <row r="433" spans="2:15" s="5" customFormat="1" ht="6" customHeight="1" outlineLevel="1">
      <c r="B433" s="280"/>
      <c r="D433" s="10"/>
      <c r="E433" s="10"/>
      <c r="F433" s="95"/>
      <c r="G433" s="95"/>
      <c r="H433" s="543"/>
      <c r="I433" s="32"/>
      <c r="J433" s="32"/>
      <c r="K433" s="32"/>
      <c r="L433" s="32"/>
      <c r="M433" s="32"/>
      <c r="N433" s="32"/>
      <c r="O433" s="42"/>
    </row>
    <row r="434" spans="2:15" s="5" customFormat="1" ht="15" customHeight="1" outlineLevel="1">
      <c r="B434" s="98" t="s">
        <v>221</v>
      </c>
      <c r="D434" s="10"/>
      <c r="E434" s="10"/>
      <c r="F434" s="95"/>
      <c r="G434" s="95"/>
      <c r="H434" s="565">
        <v>0</v>
      </c>
      <c r="I434" s="27">
        <f>I427/(1+$C$414)^I$432</f>
        <v>9286.0700264431089</v>
      </c>
      <c r="J434" s="27">
        <f t="shared" ref="J434:N435" si="100">J427/(1+$C$414)^J$432</f>
        <v>11338.302869221963</v>
      </c>
      <c r="K434" s="27">
        <f t="shared" si="100"/>
        <v>6990.9764129555761</v>
      </c>
      <c r="L434" s="27">
        <f t="shared" si="100"/>
        <v>5958.3232826602762</v>
      </c>
      <c r="M434" s="27">
        <f t="shared" si="100"/>
        <v>5115.0906511189969</v>
      </c>
      <c r="N434" s="27">
        <f t="shared" si="100"/>
        <v>4483.9245426226953</v>
      </c>
      <c r="O434" s="42"/>
    </row>
    <row r="435" spans="2:15" s="5" customFormat="1" ht="15" customHeight="1" outlineLevel="1">
      <c r="B435" s="98" t="s">
        <v>92</v>
      </c>
      <c r="D435" s="10"/>
      <c r="E435" s="10"/>
      <c r="F435" s="95"/>
      <c r="G435" s="95"/>
      <c r="H435" s="571">
        <v>0</v>
      </c>
      <c r="I435" s="28">
        <f>I428/(1+$C$414)^I$432</f>
        <v>0</v>
      </c>
      <c r="J435" s="28">
        <f t="shared" si="100"/>
        <v>0</v>
      </c>
      <c r="K435" s="28">
        <f t="shared" si="100"/>
        <v>0</v>
      </c>
      <c r="L435" s="28">
        <f t="shared" si="100"/>
        <v>0</v>
      </c>
      <c r="M435" s="28">
        <f t="shared" si="100"/>
        <v>0</v>
      </c>
      <c r="N435" s="28">
        <f t="shared" si="100"/>
        <v>66891.469621693293</v>
      </c>
      <c r="O435" s="42"/>
    </row>
    <row r="436" spans="2:15" s="5" customFormat="1" ht="15" customHeight="1" outlineLevel="1">
      <c r="B436" s="98" t="s">
        <v>93</v>
      </c>
      <c r="D436" s="10"/>
      <c r="E436" s="10"/>
      <c r="F436" s="95"/>
      <c r="G436" s="95"/>
      <c r="H436" s="158">
        <f>SUM(H434:H435)</f>
        <v>0</v>
      </c>
      <c r="I436" s="158">
        <f>SUM(I434:I435)</f>
        <v>9286.0700264431089</v>
      </c>
      <c r="J436" s="158">
        <f t="shared" ref="J436" si="101">SUM(J434:J435)</f>
        <v>11338.302869221963</v>
      </c>
      <c r="K436" s="158">
        <f t="shared" ref="K436" si="102">SUM(K434:K435)</f>
        <v>6990.9764129555761</v>
      </c>
      <c r="L436" s="158">
        <f t="shared" ref="L436" si="103">SUM(L434:L435)</f>
        <v>5958.3232826602762</v>
      </c>
      <c r="M436" s="158">
        <f t="shared" ref="M436" si="104">SUM(M434:M435)</f>
        <v>5115.0906511189969</v>
      </c>
      <c r="N436" s="158">
        <f t="shared" ref="N436" si="105">SUM(N434:N435)</f>
        <v>71375.394164315992</v>
      </c>
      <c r="O436" s="42"/>
    </row>
    <row r="437" spans="2:15" s="5" customFormat="1" ht="15" customHeight="1" outlineLevel="1">
      <c r="B437" s="98"/>
      <c r="D437" s="10"/>
      <c r="E437" s="10"/>
      <c r="F437" s="95"/>
      <c r="G437" s="95"/>
      <c r="H437" s="573"/>
      <c r="I437" s="292"/>
      <c r="J437" s="292"/>
      <c r="K437" s="292"/>
      <c r="L437" s="292"/>
      <c r="M437" s="292"/>
      <c r="N437" s="292"/>
      <c r="O437" s="42"/>
    </row>
    <row r="438" spans="2:15" s="5" customFormat="1" ht="15" customHeight="1" outlineLevel="1">
      <c r="B438" s="280"/>
      <c r="D438" s="147"/>
      <c r="E438" s="147"/>
      <c r="F438" s="18"/>
      <c r="G438" s="18"/>
      <c r="H438" s="158"/>
      <c r="I438" s="158"/>
      <c r="J438" s="158"/>
      <c r="K438" s="158"/>
      <c r="L438" s="158"/>
      <c r="M438" s="158"/>
      <c r="N438" s="158"/>
      <c r="O438" s="42"/>
    </row>
    <row r="439" spans="2:15" s="5" customFormat="1" ht="15" customHeight="1" outlineLevel="1">
      <c r="B439" s="50"/>
      <c r="D439" s="10"/>
      <c r="E439" s="10"/>
      <c r="F439" s="50" t="s">
        <v>201</v>
      </c>
      <c r="G439" s="217"/>
      <c r="H439" s="581"/>
      <c r="I439" s="18"/>
      <c r="J439" s="14" t="s">
        <v>201</v>
      </c>
      <c r="K439" s="293"/>
      <c r="L439" s="204"/>
      <c r="M439" s="204"/>
      <c r="N439" s="18"/>
      <c r="O439" s="42"/>
    </row>
    <row r="440" spans="2:15" s="5" customFormat="1" ht="15" customHeight="1" outlineLevel="1">
      <c r="B440" s="280"/>
      <c r="D440" s="10"/>
      <c r="E440" s="10"/>
      <c r="F440" s="305" t="s">
        <v>89</v>
      </c>
      <c r="G440" s="214"/>
      <c r="H440" s="173">
        <f>SUM(I436:N436)</f>
        <v>110064.15740671591</v>
      </c>
      <c r="I440" s="27"/>
      <c r="J440" s="302" t="s">
        <v>223</v>
      </c>
      <c r="K440" s="294"/>
      <c r="L440" s="401">
        <f>M440/$M$442</f>
        <v>0.39225020026717888</v>
      </c>
      <c r="M440" s="173">
        <f>SUM(I434:N434)</f>
        <v>43172.687785022616</v>
      </c>
      <c r="N440" s="27"/>
      <c r="O440" s="42"/>
    </row>
    <row r="441" spans="2:15" ht="15" customHeight="1" outlineLevel="1">
      <c r="B441" s="280"/>
      <c r="D441" s="147"/>
      <c r="E441" s="147"/>
      <c r="F441" s="306" t="s">
        <v>271</v>
      </c>
      <c r="G441" s="143"/>
      <c r="H441" s="175">
        <f>XNPV(C414,H429:N429,H414:N414)</f>
        <v>110027.32371224451</v>
      </c>
      <c r="I441" s="27"/>
      <c r="J441" s="304" t="s">
        <v>224</v>
      </c>
      <c r="K441" s="204"/>
      <c r="L441" s="402">
        <f>M441/$M$442</f>
        <v>0.60774979973282106</v>
      </c>
      <c r="M441" s="175">
        <f>SUM(I435:N435)</f>
        <v>66891.469621693293</v>
      </c>
      <c r="N441" s="27"/>
    </row>
    <row r="442" spans="2:15" ht="15" customHeight="1" outlineLevel="1">
      <c r="J442" s="303" t="s">
        <v>88</v>
      </c>
      <c r="K442" s="301"/>
      <c r="L442" s="402">
        <f>M442/$M$442</f>
        <v>1</v>
      </c>
      <c r="M442" s="175">
        <f>SUM(M440:M441)</f>
        <v>110064.15740671591</v>
      </c>
    </row>
    <row r="443" spans="2:15" ht="15" customHeight="1" outlineLevel="1"/>
    <row r="444" spans="2:15" ht="15" customHeight="1" outlineLevel="1"/>
    <row r="445" spans="2:15" ht="15" customHeight="1" outlineLevel="1">
      <c r="F445" s="50" t="s">
        <v>202</v>
      </c>
      <c r="G445" s="18"/>
      <c r="J445" s="50" t="s">
        <v>203</v>
      </c>
      <c r="K445" s="18"/>
    </row>
    <row r="446" spans="2:15" ht="15" customHeight="1" outlineLevel="1">
      <c r="F446" s="305" t="s">
        <v>88</v>
      </c>
      <c r="G446" s="307"/>
      <c r="H446" s="173">
        <f>H441</f>
        <v>110027.32371224451</v>
      </c>
      <c r="J446" s="305" t="s">
        <v>118</v>
      </c>
      <c r="K446" s="307"/>
      <c r="L446" s="307"/>
      <c r="M446" s="173">
        <f>H448</f>
        <v>91385.323712244513</v>
      </c>
    </row>
    <row r="447" spans="2:15" ht="15" customHeight="1" outlineLevel="1">
      <c r="F447" s="304" t="s">
        <v>235</v>
      </c>
      <c r="H447" s="176">
        <f>-Inputs!$L$94</f>
        <v>-18642</v>
      </c>
      <c r="J447" s="308" t="s">
        <v>121</v>
      </c>
      <c r="L447" s="309" t="s">
        <v>156</v>
      </c>
      <c r="M447" s="176">
        <f>Inputs!$F$105</f>
        <v>34200</v>
      </c>
    </row>
    <row r="448" spans="2:15" ht="15" customHeight="1" outlineLevel="1">
      <c r="F448" s="306" t="s">
        <v>118</v>
      </c>
      <c r="G448" s="143"/>
      <c r="H448" s="175">
        <f>SUM(H446:H447)</f>
        <v>91385.323712244513</v>
      </c>
      <c r="J448" s="306" t="s">
        <v>118</v>
      </c>
      <c r="K448" s="143"/>
      <c r="L448" s="310" t="s">
        <v>122</v>
      </c>
      <c r="M448" s="400">
        <f>M446/M447</f>
        <v>2.6720854886621201</v>
      </c>
    </row>
    <row r="449" spans="1:15" ht="15" customHeight="1" outlineLevel="1">
      <c r="C449" s="18"/>
    </row>
    <row r="450" spans="1:15" ht="15" customHeight="1" outlineLevel="1">
      <c r="B450" s="5"/>
      <c r="C450" s="6"/>
      <c r="D450" s="10"/>
      <c r="E450" s="10"/>
      <c r="F450" s="10"/>
      <c r="G450" s="10"/>
      <c r="H450" s="10"/>
      <c r="I450" s="37"/>
      <c r="J450" s="37"/>
      <c r="K450" s="37"/>
      <c r="L450" s="37"/>
      <c r="M450" s="255" t="s">
        <v>233</v>
      </c>
      <c r="N450" s="5"/>
      <c r="O450" s="39"/>
    </row>
    <row r="451" spans="1:15" ht="15" customHeight="1" outlineLevel="1">
      <c r="B451" s="5"/>
      <c r="C451" s="6"/>
      <c r="D451" s="10"/>
      <c r="E451" s="10"/>
      <c r="F451" s="10"/>
      <c r="G451" s="10"/>
      <c r="H451" s="10"/>
      <c r="I451" s="37"/>
      <c r="J451" s="37"/>
      <c r="K451" s="37"/>
      <c r="L451" s="37"/>
      <c r="M451" s="256" t="s">
        <v>229</v>
      </c>
      <c r="N451" s="5"/>
      <c r="O451" s="39"/>
    </row>
    <row r="452" spans="1:15" s="5" customFormat="1" ht="15" customHeight="1" outlineLevel="1">
      <c r="C452" s="6"/>
      <c r="D452" s="10"/>
      <c r="E452" s="10"/>
      <c r="F452" s="10"/>
      <c r="G452" s="10"/>
      <c r="H452" s="10"/>
      <c r="I452" s="37"/>
      <c r="J452" s="37"/>
      <c r="K452" s="37"/>
      <c r="L452" s="37"/>
      <c r="O452" s="39"/>
    </row>
    <row r="453" spans="1:15" s="5" customFormat="1" ht="15" customHeight="1" outlineLevel="1">
      <c r="B453" s="29"/>
      <c r="C453" s="30"/>
      <c r="D453" s="31"/>
      <c r="E453" s="31"/>
      <c r="F453" s="31"/>
      <c r="G453" s="31"/>
      <c r="H453" s="31"/>
      <c r="I453" s="43"/>
      <c r="J453" s="43"/>
      <c r="K453" s="43"/>
      <c r="L453" s="43"/>
      <c r="M453" s="43"/>
      <c r="N453" s="43" t="s">
        <v>151</v>
      </c>
    </row>
    <row r="455" spans="1:15" ht="22.05" customHeight="1">
      <c r="A455" s="591" t="s">
        <v>247</v>
      </c>
      <c r="B455" s="480"/>
      <c r="C455" s="480"/>
      <c r="D455" s="480"/>
      <c r="E455" s="480"/>
      <c r="F455" s="480"/>
      <c r="G455" s="480"/>
      <c r="H455" s="480"/>
      <c r="I455" s="480"/>
      <c r="J455" s="480"/>
      <c r="K455" s="480"/>
      <c r="L455" s="480"/>
      <c r="M455" s="480"/>
      <c r="N455" s="480"/>
    </row>
    <row r="456" spans="1:15" ht="28.05" customHeight="1">
      <c r="A456" s="501" t="s">
        <v>246</v>
      </c>
      <c r="B456" s="480"/>
      <c r="C456" s="480"/>
      <c r="D456" s="480"/>
      <c r="E456" s="480"/>
      <c r="F456" s="480"/>
      <c r="G456" s="480"/>
      <c r="H456" s="480"/>
      <c r="I456" s="480"/>
      <c r="J456" s="480"/>
      <c r="K456" s="480"/>
      <c r="L456" s="480"/>
      <c r="M456" s="480"/>
      <c r="N456" s="480"/>
    </row>
  </sheetData>
  <mergeCells count="3">
    <mergeCell ref="A1:N1"/>
    <mergeCell ref="A455:N455"/>
    <mergeCell ref="A456:N456"/>
  </mergeCells>
  <conditionalFormatting sqref="B100 B102">
    <cfRule type="containsText" dxfId="5" priority="2" operator="containsText" text="OK">
      <formula>NOT(ISERROR(SEARCH("OK",B100)))</formula>
    </cfRule>
    <cfRule type="containsText" dxfId="4" priority="3" operator="containsText" text="ERROR">
      <formula>NOT(ISERROR(SEARCH("ERROR",B100)))</formula>
    </cfRule>
  </conditionalFormatting>
  <conditionalFormatting sqref="D246">
    <cfRule type="expression" dxfId="3" priority="12">
      <formula>$D$246=1</formula>
    </cfRule>
  </conditionalFormatting>
  <conditionalFormatting sqref="D288">
    <cfRule type="expression" dxfId="2" priority="11">
      <formula>$D$288=1</formula>
    </cfRule>
  </conditionalFormatting>
  <conditionalFormatting sqref="I43:N43">
    <cfRule type="expression" dxfId="1" priority="16">
      <formula>I$43=1</formula>
    </cfRule>
  </conditionalFormatting>
  <conditionalFormatting sqref="I353:N353">
    <cfRule type="expression" dxfId="0" priority="1">
      <formula>I353=1</formula>
    </cfRule>
  </conditionalFormatting>
  <hyperlinks>
    <hyperlink ref="A455" r:id="rId1" tooltip="Visit Zaigham Ali — Financial Modeling &amp; Analysis" xr:uid="{A73C11F4-4133-4055-9DE8-55028D38175A}"/>
  </hyperlinks>
  <printOptions horizontalCentered="1"/>
  <pageMargins left="0.11811023622047245" right="0.11811023622047245" top="0.11811023622047245" bottom="0.11811023622047245" header="0.11811023622047245" footer="0.11811023622047245"/>
  <pageSetup scale="88" orientation="landscape" r:id="rId2"/>
  <headerFooter>
    <oddFooter>&amp;L&amp;"Open Sans,Bold"&amp;10&amp;K002060DCF Valuation Modeling&amp;C&amp;"Open Sans,Bold"&amp;10&amp;K002060Page &amp;P of &amp;N&amp;R&amp;G</oddFooter>
  </headerFooter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acheModel xmlns:xsd="http://www.w3.org/2001/XMLSchema" xmlns:xsi="http://www.w3.org/2001/XMLSchema-instance" xmlns="TagniFiModelState">
  <SerializedJson>[]</SerializedJson>
</CacheModel>
</file>

<file path=customXml/itemProps1.xml><?xml version="1.0" encoding="utf-8"?>
<ds:datastoreItem xmlns:ds="http://schemas.openxmlformats.org/officeDocument/2006/customXml" ds:itemID="{F87FA3EF-5CAE-45FE-8E65-0323A68546CC}">
  <ds:schemaRefs>
    <ds:schemaRef ds:uri="http://www.w3.org/2001/XMLSchema"/>
    <ds:schemaRef ds:uri="TagniFiModelStat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Cover</vt:lpstr>
      <vt:lpstr>Outputs</vt:lpstr>
      <vt:lpstr>Inputs</vt:lpstr>
      <vt:lpstr>Model</vt:lpstr>
      <vt:lpstr>Cover!Print_Area</vt:lpstr>
      <vt:lpstr>Inputs!Print_Area</vt:lpstr>
      <vt:lpstr>Model!Print_Area</vt:lpstr>
      <vt:lpstr>Outputs!Print_Area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Syed Zaigham Ali</cp:lastModifiedBy>
  <cp:revision/>
  <cp:lastPrinted>1899-12-30T05:00:00Z</cp:lastPrinted>
  <dcterms:created xsi:type="dcterms:W3CDTF">1899-12-30T05:00:00Z</dcterms:created>
  <dcterms:modified xsi:type="dcterms:W3CDTF">2026-05-12T15:12:56Z</dcterms:modified>
  <cp:category/>
  <cp:contentStatus/>
  <dc:language/>
  <cp:version/>
</cp:coreProperties>
</file>